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tiffa\Downloads\"/>
    </mc:Choice>
  </mc:AlternateContent>
  <bookViews>
    <workbookView xWindow="0" yWindow="0" windowWidth="23040" windowHeight="9072" tabRatio="617"/>
  </bookViews>
  <sheets>
    <sheet name="Balance " sheetId="2" r:id="rId1"/>
    <sheet name="DATA Août 2025" sheetId="1" r:id="rId2"/>
    <sheet name="Personals balance " sheetId="6" r:id="rId3"/>
    <sheet name="Individual costs " sheetId="10" r:id="rId4"/>
    <sheet name="Individual received " sheetId="19" r:id="rId5"/>
    <sheet name="data ANALYSIS " sheetId="12" r:id="rId6"/>
    <sheet name="Bank journal " sheetId="4" r:id="rId7"/>
    <sheet name="Bank reconciliation " sheetId="5" r:id="rId8"/>
    <sheet name="Cash journal " sheetId="3" r:id="rId9"/>
    <sheet name="Cash desk closing " sheetId="7" r:id="rId10"/>
    <sheet name="Global data Août  2025" sheetId="26" r:id="rId11"/>
    <sheet name="Donors table" sheetId="9" r:id="rId12"/>
    <sheet name="phone credit " sheetId="23" r:id="rId13"/>
  </sheets>
  <definedNames>
    <definedName name="_xlnm._FilterDatabase" localSheetId="6" hidden="1">'Bank journal '!$A$1:$J$15</definedName>
    <definedName name="_xlnm._FilterDatabase" localSheetId="7" hidden="1">'Bank reconciliation '!$A$9:$E$38</definedName>
    <definedName name="_xlnm._FilterDatabase" localSheetId="8" hidden="1">'Cash journal '!$A$1:$J$76</definedName>
    <definedName name="_xlnm._FilterDatabase" localSheetId="1" hidden="1">'DATA Août 2025'!$A$1:$O$621</definedName>
    <definedName name="_xlnm._FilterDatabase" localSheetId="10" hidden="1">'Global data Août  2025'!$A$1:$O$1993</definedName>
    <definedName name="_xlnm._FilterDatabase" localSheetId="2" hidden="1">'Personals balance '!$A$123:$F$220</definedName>
    <definedName name="_xlnm.Print_Area" localSheetId="7">'Bank reconciliation '!$A$1:$E$83</definedName>
  </definedNames>
  <calcPr calcId="162913"/>
  <pivotCaches>
    <pivotCache cacheId="5" r:id="rId14"/>
    <pivotCache cacheId="6" r:id="rId15"/>
    <pivotCache cacheId="7" r:id="rId16"/>
    <pivotCache cacheId="8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1980" i="26" l="1"/>
  <c r="F1981" i="26"/>
  <c r="F1982" i="26"/>
  <c r="H758" i="6"/>
  <c r="H759" i="6" s="1"/>
  <c r="H760" i="6" s="1"/>
  <c r="H761" i="6" s="1"/>
  <c r="H762" i="6" s="1"/>
  <c r="H763" i="6" s="1"/>
  <c r="H764" i="6" s="1"/>
  <c r="H765" i="6" s="1"/>
  <c r="H766" i="6" s="1"/>
  <c r="H767" i="6" s="1"/>
  <c r="F607" i="1"/>
  <c r="F608" i="1"/>
  <c r="F609" i="1"/>
  <c r="F610" i="1"/>
  <c r="F1876" i="26" l="1"/>
  <c r="F1877" i="26"/>
  <c r="F1878" i="26"/>
  <c r="F1879" i="26"/>
  <c r="F1880" i="26"/>
  <c r="F1881" i="26"/>
  <c r="F1882" i="26"/>
  <c r="F1883" i="26"/>
  <c r="F1884" i="26"/>
  <c r="F1885" i="26"/>
  <c r="F1886" i="26"/>
  <c r="F1887" i="26"/>
  <c r="F1888" i="26"/>
  <c r="F1889" i="26"/>
  <c r="F1890" i="26"/>
  <c r="F1891" i="26"/>
  <c r="F1892" i="26"/>
  <c r="F1893" i="26"/>
  <c r="F518" i="1"/>
  <c r="F519" i="1"/>
  <c r="F520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1585" i="26"/>
  <c r="F1586" i="26"/>
  <c r="F1587" i="26"/>
  <c r="F1588" i="26"/>
  <c r="F1589" i="26"/>
  <c r="F1590" i="26"/>
  <c r="F1591" i="26"/>
  <c r="F1592" i="26"/>
  <c r="F1593" i="26"/>
  <c r="F1594" i="26"/>
  <c r="F1595" i="26"/>
  <c r="F213" i="1" l="1"/>
  <c r="F214" i="1"/>
  <c r="F215" i="1"/>
  <c r="F216" i="1"/>
  <c r="F217" i="1"/>
  <c r="F218" i="1"/>
  <c r="F219" i="1"/>
  <c r="F220" i="1"/>
  <c r="F221" i="1"/>
  <c r="F222" i="1"/>
  <c r="F223" i="1"/>
  <c r="F1993" i="26"/>
  <c r="F1992" i="26"/>
  <c r="F1991" i="26"/>
  <c r="F1990" i="26"/>
  <c r="F1989" i="26"/>
  <c r="F1988" i="26"/>
  <c r="F1987" i="26"/>
  <c r="F1986" i="26"/>
  <c r="F1985" i="26"/>
  <c r="F1984" i="26"/>
  <c r="F1983" i="26"/>
  <c r="F1979" i="26"/>
  <c r="F1978" i="26"/>
  <c r="F1977" i="26"/>
  <c r="F1976" i="26"/>
  <c r="F1975" i="26"/>
  <c r="F1974" i="26"/>
  <c r="F1973" i="26"/>
  <c r="F1972" i="26"/>
  <c r="F1971" i="26"/>
  <c r="F1970" i="26"/>
  <c r="F1969" i="26"/>
  <c r="F1968" i="26"/>
  <c r="F1967" i="26"/>
  <c r="F1966" i="26"/>
  <c r="F1965" i="26"/>
  <c r="F1964" i="26"/>
  <c r="F1963" i="26"/>
  <c r="F1962" i="26"/>
  <c r="F1961" i="26"/>
  <c r="F1960" i="26"/>
  <c r="F1959" i="26"/>
  <c r="F1958" i="26"/>
  <c r="F1957" i="26"/>
  <c r="F1956" i="26"/>
  <c r="F1955" i="26"/>
  <c r="F1954" i="26"/>
  <c r="F1953" i="26"/>
  <c r="F1952" i="26"/>
  <c r="F1951" i="26"/>
  <c r="F1950" i="26"/>
  <c r="F1949" i="26"/>
  <c r="F1948" i="26"/>
  <c r="F1947" i="26"/>
  <c r="F1946" i="26"/>
  <c r="F1945" i="26"/>
  <c r="F1944" i="26"/>
  <c r="F1943" i="26"/>
  <c r="F1942" i="26"/>
  <c r="F1941" i="26"/>
  <c r="F1940" i="26"/>
  <c r="F1939" i="26"/>
  <c r="F1938" i="26"/>
  <c r="F1937" i="26"/>
  <c r="F1936" i="26"/>
  <c r="F1935" i="26"/>
  <c r="F1934" i="26"/>
  <c r="F1933" i="26"/>
  <c r="F1932" i="26"/>
  <c r="F1931" i="26"/>
  <c r="F1930" i="26"/>
  <c r="F1929" i="26"/>
  <c r="F1928" i="26"/>
  <c r="F1927" i="26"/>
  <c r="F1925" i="26"/>
  <c r="F1924" i="26"/>
  <c r="F1923" i="26"/>
  <c r="F1922" i="26"/>
  <c r="F1921" i="26"/>
  <c r="F1920" i="26"/>
  <c r="F1919" i="26"/>
  <c r="F1918" i="26"/>
  <c r="F1917" i="26"/>
  <c r="F1916" i="26"/>
  <c r="F1915" i="26"/>
  <c r="F1914" i="26"/>
  <c r="F1913" i="26"/>
  <c r="F1912" i="26"/>
  <c r="F1911" i="26"/>
  <c r="F1910" i="26"/>
  <c r="F1909" i="26"/>
  <c r="F1926" i="26"/>
  <c r="F1908" i="26"/>
  <c r="F1907" i="26"/>
  <c r="F1906" i="26"/>
  <c r="F1905" i="26"/>
  <c r="F1904" i="26"/>
  <c r="F1903" i="26"/>
  <c r="F1902" i="26"/>
  <c r="F1901" i="26"/>
  <c r="F1900" i="26"/>
  <c r="F1899" i="26"/>
  <c r="F1898" i="26"/>
  <c r="F1897" i="26"/>
  <c r="F1896" i="26"/>
  <c r="F1895" i="26"/>
  <c r="F1894" i="26"/>
  <c r="F1875" i="26"/>
  <c r="F1874" i="26"/>
  <c r="F1873" i="26"/>
  <c r="F1872" i="26"/>
  <c r="F1871" i="26"/>
  <c r="F1870" i="26"/>
  <c r="F1869" i="26"/>
  <c r="F1868" i="26"/>
  <c r="F1867" i="26"/>
  <c r="F1866" i="26"/>
  <c r="F1865" i="26"/>
  <c r="F1864" i="26"/>
  <c r="F1863" i="26"/>
  <c r="F1862" i="26"/>
  <c r="F1861" i="26"/>
  <c r="F1860" i="26"/>
  <c r="F1859" i="26"/>
  <c r="F1858" i="26"/>
  <c r="F1857" i="26"/>
  <c r="F1856" i="26"/>
  <c r="F1855" i="26"/>
  <c r="F1854" i="26"/>
  <c r="F1853" i="26"/>
  <c r="F1852" i="26"/>
  <c r="F1850" i="26"/>
  <c r="F1849" i="26"/>
  <c r="F1848" i="26"/>
  <c r="F1847" i="26"/>
  <c r="F1846" i="26"/>
  <c r="F1845" i="26"/>
  <c r="F1844" i="26"/>
  <c r="F1843" i="26"/>
  <c r="F1842" i="26"/>
  <c r="F1841" i="26"/>
  <c r="F1840" i="26"/>
  <c r="F1839" i="26"/>
  <c r="F1838" i="26"/>
  <c r="F1837" i="26"/>
  <c r="F1836" i="26"/>
  <c r="F1835" i="26"/>
  <c r="F1834" i="26"/>
  <c r="F1833" i="26"/>
  <c r="F1832" i="26"/>
  <c r="F1831" i="26"/>
  <c r="F1830" i="26"/>
  <c r="F1829" i="26"/>
  <c r="F1828" i="26"/>
  <c r="F1827" i="26"/>
  <c r="F1826" i="26"/>
  <c r="F1825" i="26"/>
  <c r="F1824" i="26"/>
  <c r="F1823" i="26"/>
  <c r="F1822" i="26"/>
  <c r="F1821" i="26"/>
  <c r="F1820" i="26"/>
  <c r="F1819" i="26"/>
  <c r="F1818" i="26"/>
  <c r="F1817" i="26"/>
  <c r="F1816" i="26"/>
  <c r="F1815" i="26"/>
  <c r="F1814" i="26"/>
  <c r="F1813" i="26"/>
  <c r="F1812" i="26"/>
  <c r="F1811" i="26"/>
  <c r="F1810" i="26"/>
  <c r="F1809" i="26"/>
  <c r="F1808" i="26"/>
  <c r="F1807" i="26"/>
  <c r="F1806" i="26"/>
  <c r="F1805" i="26"/>
  <c r="F1804" i="26"/>
  <c r="F1803" i="26"/>
  <c r="F1802" i="26"/>
  <c r="F1801" i="26"/>
  <c r="F1800" i="26"/>
  <c r="F1799" i="26"/>
  <c r="F1798" i="26"/>
  <c r="F1797" i="26"/>
  <c r="F1796" i="26"/>
  <c r="F1795" i="26"/>
  <c r="F1794" i="26"/>
  <c r="F1793" i="26"/>
  <c r="F1792" i="26"/>
  <c r="F1791" i="26"/>
  <c r="F1790" i="26"/>
  <c r="F1789" i="26"/>
  <c r="F1788" i="26"/>
  <c r="F1787" i="26"/>
  <c r="F1786" i="26"/>
  <c r="F1785" i="26"/>
  <c r="F1784" i="26"/>
  <c r="F1783" i="26"/>
  <c r="F1782" i="26"/>
  <c r="F1781" i="26"/>
  <c r="F1780" i="26"/>
  <c r="F1779" i="26"/>
  <c r="F1778" i="26"/>
  <c r="F1777" i="26"/>
  <c r="F1776" i="26"/>
  <c r="F1775" i="26"/>
  <c r="F1774" i="26"/>
  <c r="F1773" i="26"/>
  <c r="F1772" i="26"/>
  <c r="F1771" i="26"/>
  <c r="F1770" i="26"/>
  <c r="F1769" i="26"/>
  <c r="F1768" i="26"/>
  <c r="F1767" i="26"/>
  <c r="F1766" i="26"/>
  <c r="F1765" i="26"/>
  <c r="F1764" i="26"/>
  <c r="F1763" i="26"/>
  <c r="F1762" i="26"/>
  <c r="F1761" i="26"/>
  <c r="F1760" i="26"/>
  <c r="F1759" i="26"/>
  <c r="F1758" i="26"/>
  <c r="F1757" i="26"/>
  <c r="F1756" i="26"/>
  <c r="F1755" i="26"/>
  <c r="F1754" i="26"/>
  <c r="F1753" i="26"/>
  <c r="F1752" i="26"/>
  <c r="F1751" i="26"/>
  <c r="F1750" i="26"/>
  <c r="F1749" i="26"/>
  <c r="F1748" i="26"/>
  <c r="F1747" i="26"/>
  <c r="F1746" i="26"/>
  <c r="F1745" i="26"/>
  <c r="F1744" i="26"/>
  <c r="F1743" i="26"/>
  <c r="F1742" i="26"/>
  <c r="F1741" i="26"/>
  <c r="F1740" i="26"/>
  <c r="F1739" i="26"/>
  <c r="F1738" i="26"/>
  <c r="F1737" i="26"/>
  <c r="F1736" i="26"/>
  <c r="F1735" i="26"/>
  <c r="F1734" i="26"/>
  <c r="F1733" i="26"/>
  <c r="F1732" i="26"/>
  <c r="F1731" i="26"/>
  <c r="F1730" i="26"/>
  <c r="F1729" i="26"/>
  <c r="F1728" i="26"/>
  <c r="F1727" i="26"/>
  <c r="F1726" i="26"/>
  <c r="F1725" i="26"/>
  <c r="F1724" i="26"/>
  <c r="F1723" i="26"/>
  <c r="F1722" i="26"/>
  <c r="F1721" i="26"/>
  <c r="F1720" i="26"/>
  <c r="F1719" i="26"/>
  <c r="F1718" i="26"/>
  <c r="F1717" i="26"/>
  <c r="F1716" i="26"/>
  <c r="F1715" i="26"/>
  <c r="F1714" i="26"/>
  <c r="F1713" i="26"/>
  <c r="F1712" i="26"/>
  <c r="F1711" i="26"/>
  <c r="F1710" i="26"/>
  <c r="F1709" i="26"/>
  <c r="F1708" i="26"/>
  <c r="F1707" i="26"/>
  <c r="F1706" i="26"/>
  <c r="F1705" i="26"/>
  <c r="F1703" i="26"/>
  <c r="F1702" i="26"/>
  <c r="F1701" i="26"/>
  <c r="F1700" i="26"/>
  <c r="F1699" i="26"/>
  <c r="F1698" i="26"/>
  <c r="F1704" i="26"/>
  <c r="F1697" i="26"/>
  <c r="F1696" i="26"/>
  <c r="F1695" i="26"/>
  <c r="F1694" i="26"/>
  <c r="F1693" i="26"/>
  <c r="F1692" i="26"/>
  <c r="F1691" i="26"/>
  <c r="F1690" i="26"/>
  <c r="F1689" i="26"/>
  <c r="F1688" i="26"/>
  <c r="F1687" i="26"/>
  <c r="F1686" i="26"/>
  <c r="F1685" i="26"/>
  <c r="F1684" i="26"/>
  <c r="F1683" i="26"/>
  <c r="F1682" i="26"/>
  <c r="F1681" i="26"/>
  <c r="F1680" i="26"/>
  <c r="F1679" i="26"/>
  <c r="F1678" i="26"/>
  <c r="F1677" i="26"/>
  <c r="F1676" i="26"/>
  <c r="F1675" i="26"/>
  <c r="F1674" i="26"/>
  <c r="F1673" i="26"/>
  <c r="F1672" i="26"/>
  <c r="F1671" i="26"/>
  <c r="F1670" i="26"/>
  <c r="F1669" i="26"/>
  <c r="F1668" i="26"/>
  <c r="F1667" i="26"/>
  <c r="F1666" i="26"/>
  <c r="F1665" i="26"/>
  <c r="F1664" i="26"/>
  <c r="F1663" i="26"/>
  <c r="F1662" i="26"/>
  <c r="F1661" i="26"/>
  <c r="F1660" i="26"/>
  <c r="F1659" i="26"/>
  <c r="F1658" i="26"/>
  <c r="F1657" i="26"/>
  <c r="F1656" i="26"/>
  <c r="F1655" i="26"/>
  <c r="F1654" i="26"/>
  <c r="F1653" i="26"/>
  <c r="F1652" i="26"/>
  <c r="F1628" i="26"/>
  <c r="F1651" i="26"/>
  <c r="F1650" i="26"/>
  <c r="F1649" i="26"/>
  <c r="F1648" i="26"/>
  <c r="F1647" i="26"/>
  <c r="F1646" i="26"/>
  <c r="F1645" i="26"/>
  <c r="F1644" i="26"/>
  <c r="F1643" i="26"/>
  <c r="F1642" i="26"/>
  <c r="F1641" i="26"/>
  <c r="F1640" i="26"/>
  <c r="F1639" i="26"/>
  <c r="F1638" i="26"/>
  <c r="F1637" i="26"/>
  <c r="F1636" i="26"/>
  <c r="F1635" i="26"/>
  <c r="F1634" i="26"/>
  <c r="F1633" i="26"/>
  <c r="F1632" i="26"/>
  <c r="F1631" i="26"/>
  <c r="F1630" i="26"/>
  <c r="F1629" i="26"/>
  <c r="F1627" i="26"/>
  <c r="F1626" i="26"/>
  <c r="F1625" i="26"/>
  <c r="F1624" i="26"/>
  <c r="F1623" i="26"/>
  <c r="F1622" i="26"/>
  <c r="F1621" i="26"/>
  <c r="F1620" i="26"/>
  <c r="F1619" i="26"/>
  <c r="F1618" i="26"/>
  <c r="F1617" i="26"/>
  <c r="F1616" i="26"/>
  <c r="F1615" i="26"/>
  <c r="F1614" i="26"/>
  <c r="F1613" i="26"/>
  <c r="F1612" i="26"/>
  <c r="F1611" i="26"/>
  <c r="F1610" i="26"/>
  <c r="F1609" i="26"/>
  <c r="F1608" i="26"/>
  <c r="F1607" i="26"/>
  <c r="F1606" i="26"/>
  <c r="F1605" i="26"/>
  <c r="F1604" i="26"/>
  <c r="F1603" i="26"/>
  <c r="F1602" i="26"/>
  <c r="F1601" i="26"/>
  <c r="F1600" i="26"/>
  <c r="F1599" i="26"/>
  <c r="F1598" i="26"/>
  <c r="F1597" i="26"/>
  <c r="F1596" i="26"/>
  <c r="F1584" i="26"/>
  <c r="F1583" i="26"/>
  <c r="F1582" i="26"/>
  <c r="F1581" i="26"/>
  <c r="F1580" i="26"/>
  <c r="F1579" i="26"/>
  <c r="F1578" i="26"/>
  <c r="F1577" i="26"/>
  <c r="F1576" i="26"/>
  <c r="F1575" i="26"/>
  <c r="F1574" i="26"/>
  <c r="F1573" i="26"/>
  <c r="F1572" i="26"/>
  <c r="F1571" i="26"/>
  <c r="F1570" i="26"/>
  <c r="F1569" i="26"/>
  <c r="F1568" i="26"/>
  <c r="F1567" i="26"/>
  <c r="F1566" i="26"/>
  <c r="F1565" i="26"/>
  <c r="F1564" i="26"/>
  <c r="F1563" i="26"/>
  <c r="F1562" i="26"/>
  <c r="F1561" i="26"/>
  <c r="F1560" i="26"/>
  <c r="F1559" i="26"/>
  <c r="F1558" i="26"/>
  <c r="F1557" i="26"/>
  <c r="F1556" i="26"/>
  <c r="F1555" i="26"/>
  <c r="F1554" i="26"/>
  <c r="F1553" i="26"/>
  <c r="F1552" i="26"/>
  <c r="F1551" i="26"/>
  <c r="F1550" i="26"/>
  <c r="F1549" i="26"/>
  <c r="F1548" i="26"/>
  <c r="F1547" i="26"/>
  <c r="F1546" i="26"/>
  <c r="F1545" i="26"/>
  <c r="F1544" i="26"/>
  <c r="F1543" i="26"/>
  <c r="F1542" i="26"/>
  <c r="F1541" i="26"/>
  <c r="F1540" i="26"/>
  <c r="F1539" i="26"/>
  <c r="F1538" i="26"/>
  <c r="F1537" i="26"/>
  <c r="F1536" i="26"/>
  <c r="F1535" i="26"/>
  <c r="F1534" i="26"/>
  <c r="F1533" i="26"/>
  <c r="F1532" i="26"/>
  <c r="F1531" i="26"/>
  <c r="F1530" i="26"/>
  <c r="F1529" i="26"/>
  <c r="F1528" i="26"/>
  <c r="F1527" i="26"/>
  <c r="F1526" i="26"/>
  <c r="F1525" i="26"/>
  <c r="F1524" i="26"/>
  <c r="F1523" i="26"/>
  <c r="F1522" i="26"/>
  <c r="F1521" i="26"/>
  <c r="F1520" i="26"/>
  <c r="F1519" i="26"/>
  <c r="F1518" i="26"/>
  <c r="F1517" i="26"/>
  <c r="F1516" i="26"/>
  <c r="F1515" i="26"/>
  <c r="F1514" i="26"/>
  <c r="F1513" i="26"/>
  <c r="F1512" i="26"/>
  <c r="F1511" i="26"/>
  <c r="F1510" i="26"/>
  <c r="F1509" i="26"/>
  <c r="F1508" i="26"/>
  <c r="F1507" i="26"/>
  <c r="F1506" i="26"/>
  <c r="F1505" i="26"/>
  <c r="F1504" i="26"/>
  <c r="F1503" i="26"/>
  <c r="F1502" i="26"/>
  <c r="F1501" i="26"/>
  <c r="F1500" i="26"/>
  <c r="F1499" i="26"/>
  <c r="F1498" i="26"/>
  <c r="F1497" i="26"/>
  <c r="F1496" i="26"/>
  <c r="F1495" i="26"/>
  <c r="F1494" i="26"/>
  <c r="F1493" i="26"/>
  <c r="F1492" i="26"/>
  <c r="F1491" i="26"/>
  <c r="F1490" i="26"/>
  <c r="F1489" i="26"/>
  <c r="F1488" i="26"/>
  <c r="F1487" i="26"/>
  <c r="F1486" i="26"/>
  <c r="F1485" i="26"/>
  <c r="F1484" i="26"/>
  <c r="F1483" i="26"/>
  <c r="F1482" i="26"/>
  <c r="F1481" i="26"/>
  <c r="F1480" i="26"/>
  <c r="F1479" i="26"/>
  <c r="F1478" i="26"/>
  <c r="F1477" i="26"/>
  <c r="F1476" i="26"/>
  <c r="F1475" i="26"/>
  <c r="F1474" i="26"/>
  <c r="F1473" i="26"/>
  <c r="F1472" i="26"/>
  <c r="F1471" i="26"/>
  <c r="F1470" i="26"/>
  <c r="F1469" i="26"/>
  <c r="F1468" i="26"/>
  <c r="F1467" i="26"/>
  <c r="F1466" i="26"/>
  <c r="F1465" i="26"/>
  <c r="F1464" i="26"/>
  <c r="F1463" i="26"/>
  <c r="F1462" i="26"/>
  <c r="F1461" i="26"/>
  <c r="G1460" i="26"/>
  <c r="F1460" i="26" s="1"/>
  <c r="G1459" i="26"/>
  <c r="F1459" i="26" s="1"/>
  <c r="F1458" i="26"/>
  <c r="F1457" i="26"/>
  <c r="F1456" i="26"/>
  <c r="F1455" i="26"/>
  <c r="F1454" i="26"/>
  <c r="F1453" i="26"/>
  <c r="F1452" i="26"/>
  <c r="F1451" i="26"/>
  <c r="F1450" i="26"/>
  <c r="F1449" i="26"/>
  <c r="F1448" i="26"/>
  <c r="F1447" i="26"/>
  <c r="F1446" i="26"/>
  <c r="F1445" i="26"/>
  <c r="F1444" i="26"/>
  <c r="F1443" i="26"/>
  <c r="F1442" i="26"/>
  <c r="F1441" i="26"/>
  <c r="F1440" i="26"/>
  <c r="F1438" i="26"/>
  <c r="F1437" i="26"/>
  <c r="F1436" i="26"/>
  <c r="F1435" i="26"/>
  <c r="F1434" i="26"/>
  <c r="F1433" i="26"/>
  <c r="F1432" i="26"/>
  <c r="F1431" i="26"/>
  <c r="F1430" i="26"/>
  <c r="F1429" i="26"/>
  <c r="F1428" i="26"/>
  <c r="F1427" i="26"/>
  <c r="F1426" i="26"/>
  <c r="F1425" i="26"/>
  <c r="F1424" i="26"/>
  <c r="F1423" i="26"/>
  <c r="F1422" i="26"/>
  <c r="F1421" i="26"/>
  <c r="F1420" i="26"/>
  <c r="F1419" i="26"/>
  <c r="F1418" i="26"/>
  <c r="F1417" i="26"/>
  <c r="F1416" i="26"/>
  <c r="F1415" i="26"/>
  <c r="F1414" i="26"/>
  <c r="F1413" i="26"/>
  <c r="F1412" i="26"/>
  <c r="F1411" i="26"/>
  <c r="F1410" i="26"/>
  <c r="F1409" i="26"/>
  <c r="F1408" i="26"/>
  <c r="F1407" i="26"/>
  <c r="F1406" i="26"/>
  <c r="F1405" i="26"/>
  <c r="F1404" i="26"/>
  <c r="F1403" i="26"/>
  <c r="F1402" i="26"/>
  <c r="F1401" i="26"/>
  <c r="F1400" i="26"/>
  <c r="F1399" i="26"/>
  <c r="F1398" i="26"/>
  <c r="F1397" i="26"/>
  <c r="F1396" i="26"/>
  <c r="F1395" i="26"/>
  <c r="F1394" i="26"/>
  <c r="F1393" i="26"/>
  <c r="F1392" i="26"/>
  <c r="F1391" i="26"/>
  <c r="F1390" i="26"/>
  <c r="F1389" i="26"/>
  <c r="F1388" i="26"/>
  <c r="F1387" i="26"/>
  <c r="F1386" i="26"/>
  <c r="F1385" i="26"/>
  <c r="F1384" i="26"/>
  <c r="F1383" i="26"/>
  <c r="F1382" i="26"/>
  <c r="F1381" i="26"/>
  <c r="F1380" i="26"/>
  <c r="F1379" i="26"/>
  <c r="F1378" i="26"/>
  <c r="F1377" i="26"/>
  <c r="F1376" i="26"/>
  <c r="F1375" i="26"/>
  <c r="F1374" i="26"/>
  <c r="G88" i="1"/>
  <c r="G87" i="1"/>
  <c r="D21" i="9"/>
  <c r="D56" i="9"/>
  <c r="G58" i="9"/>
  <c r="G56" i="9"/>
  <c r="F3" i="9"/>
  <c r="F59" i="9"/>
  <c r="D36" i="9"/>
  <c r="G33" i="9"/>
  <c r="F33" i="9"/>
  <c r="D59" i="9"/>
  <c r="E56" i="9"/>
  <c r="E3" i="9"/>
  <c r="D32" i="9"/>
  <c r="F21" i="9"/>
  <c r="G36" i="9"/>
  <c r="E36" i="9"/>
  <c r="G23" i="9"/>
  <c r="F24" i="9"/>
  <c r="E11" i="9"/>
  <c r="E32" i="9"/>
  <c r="G59" i="9"/>
  <c r="G21" i="9"/>
  <c r="G22" i="9"/>
  <c r="E20" i="9"/>
  <c r="F20" i="9"/>
  <c r="G24" i="9"/>
  <c r="F56" i="9"/>
  <c r="D24" i="9"/>
  <c r="D20" i="9"/>
  <c r="D3" i="9"/>
  <c r="D11" i="9"/>
  <c r="G32" i="9"/>
  <c r="F32" i="9"/>
  <c r="G3" i="9"/>
  <c r="F23" i="9"/>
  <c r="F58" i="9"/>
  <c r="G20" i="9"/>
  <c r="F36" i="9"/>
  <c r="E21" i="9"/>
  <c r="E59" i="9"/>
  <c r="F22" i="9"/>
  <c r="F57" i="9"/>
  <c r="E24" i="9"/>
  <c r="C25" i="2" l="1"/>
  <c r="D19" i="2"/>
  <c r="E25" i="2"/>
  <c r="D25" i="2"/>
  <c r="F153" i="1" l="1"/>
  <c r="F200" i="1"/>
  <c r="F419" i="1"/>
  <c r="F420" i="1"/>
  <c r="F463" i="1"/>
  <c r="F464" i="1"/>
  <c r="F465" i="1"/>
  <c r="F466" i="1"/>
  <c r="F499" i="1"/>
  <c r="F500" i="1"/>
  <c r="F501" i="1"/>
  <c r="F502" i="1"/>
  <c r="F503" i="1"/>
  <c r="F517" i="1"/>
  <c r="F521" i="1"/>
  <c r="F552" i="1"/>
  <c r="F553" i="1"/>
  <c r="F580" i="1"/>
  <c r="F581" i="1"/>
  <c r="F606" i="1"/>
  <c r="F611" i="1"/>
  <c r="F115" i="1"/>
  <c r="F116" i="1"/>
  <c r="F201" i="1"/>
  <c r="F253" i="1"/>
  <c r="F254" i="1"/>
  <c r="F255" i="1"/>
  <c r="F295" i="1"/>
  <c r="F296" i="1"/>
  <c r="F297" i="1"/>
  <c r="F298" i="1"/>
  <c r="F375" i="1"/>
  <c r="F376" i="1"/>
  <c r="F467" i="1"/>
  <c r="F468" i="1"/>
  <c r="F522" i="1"/>
  <c r="F523" i="1"/>
  <c r="F524" i="1"/>
  <c r="F6" i="1"/>
  <c r="F9" i="1"/>
  <c r="F29" i="1"/>
  <c r="F87" i="1"/>
  <c r="F88" i="1"/>
  <c r="F117" i="1"/>
  <c r="F118" i="1"/>
  <c r="F377" i="1"/>
  <c r="F469" i="1"/>
  <c r="F470" i="1"/>
  <c r="F471" i="1"/>
  <c r="F472" i="1"/>
  <c r="F473" i="1"/>
  <c r="F474" i="1"/>
  <c r="F475" i="1"/>
  <c r="F476" i="1"/>
  <c r="F477" i="1"/>
  <c r="F612" i="1"/>
  <c r="F613" i="1"/>
  <c r="F46" i="1"/>
  <c r="F47" i="1"/>
  <c r="F48" i="1"/>
  <c r="F58" i="1"/>
  <c r="F59" i="1"/>
  <c r="F60" i="1"/>
  <c r="F78" i="1"/>
  <c r="F79" i="1"/>
  <c r="F80" i="1"/>
  <c r="F81" i="1"/>
  <c r="F180" i="1"/>
  <c r="F181" i="1"/>
  <c r="F182" i="1"/>
  <c r="F183" i="1"/>
  <c r="F184" i="1"/>
  <c r="F237" i="1"/>
  <c r="F238" i="1"/>
  <c r="F239" i="1"/>
  <c r="F240" i="1"/>
  <c r="F241" i="1"/>
  <c r="F268" i="1"/>
  <c r="F269" i="1"/>
  <c r="F270" i="1"/>
  <c r="F271" i="1"/>
  <c r="F272" i="1"/>
  <c r="F273" i="1"/>
  <c r="F309" i="1"/>
  <c r="F310" i="1"/>
  <c r="F311" i="1"/>
  <c r="F312" i="1"/>
  <c r="F313" i="1"/>
  <c r="F314" i="1"/>
  <c r="F315" i="1"/>
  <c r="F354" i="1"/>
  <c r="F355" i="1"/>
  <c r="F356" i="1"/>
  <c r="F357" i="1"/>
  <c r="F358" i="1"/>
  <c r="F359" i="1"/>
  <c r="F398" i="1"/>
  <c r="F399" i="1"/>
  <c r="F400" i="1"/>
  <c r="F401" i="1"/>
  <c r="F402" i="1"/>
  <c r="F403" i="1"/>
  <c r="F404" i="1"/>
  <c r="F433" i="1"/>
  <c r="F434" i="1"/>
  <c r="F435" i="1"/>
  <c r="F436" i="1"/>
  <c r="F532" i="1"/>
  <c r="F533" i="1"/>
  <c r="F534" i="1"/>
  <c r="F535" i="1"/>
  <c r="F28" i="1"/>
  <c r="F49" i="1"/>
  <c r="F50" i="1"/>
  <c r="F61" i="1"/>
  <c r="F62" i="1"/>
  <c r="F63" i="1"/>
  <c r="F64" i="1"/>
  <c r="F82" i="1"/>
  <c r="F83" i="1"/>
  <c r="F84" i="1"/>
  <c r="F185" i="1"/>
  <c r="F186" i="1"/>
  <c r="F187" i="1"/>
  <c r="F242" i="1"/>
  <c r="F243" i="1"/>
  <c r="F244" i="1"/>
  <c r="F274" i="1"/>
  <c r="F275" i="1"/>
  <c r="F276" i="1"/>
  <c r="F277" i="1"/>
  <c r="F278" i="1"/>
  <c r="F279" i="1"/>
  <c r="F316" i="1"/>
  <c r="F317" i="1"/>
  <c r="F318" i="1"/>
  <c r="F319" i="1"/>
  <c r="F360" i="1"/>
  <c r="F361" i="1"/>
  <c r="F362" i="1"/>
  <c r="F363" i="1"/>
  <c r="F364" i="1"/>
  <c r="F365" i="1"/>
  <c r="F366" i="1"/>
  <c r="F367" i="1"/>
  <c r="F405" i="1"/>
  <c r="F406" i="1"/>
  <c r="F407" i="1"/>
  <c r="F408" i="1"/>
  <c r="F409" i="1"/>
  <c r="F410" i="1"/>
  <c r="F411" i="1"/>
  <c r="F412" i="1"/>
  <c r="F413" i="1"/>
  <c r="F414" i="1"/>
  <c r="F437" i="1"/>
  <c r="F438" i="1"/>
  <c r="F439" i="1"/>
  <c r="F564" i="1"/>
  <c r="F565" i="1"/>
  <c r="F566" i="1"/>
  <c r="F567" i="1"/>
  <c r="F188" i="1"/>
  <c r="F189" i="1"/>
  <c r="F190" i="1"/>
  <c r="F191" i="1"/>
  <c r="F192" i="1"/>
  <c r="F256" i="1"/>
  <c r="F280" i="1"/>
  <c r="F281" i="1"/>
  <c r="F282" i="1"/>
  <c r="F283" i="1"/>
  <c r="F284" i="1"/>
  <c r="F285" i="1"/>
  <c r="F320" i="1"/>
  <c r="F321" i="1"/>
  <c r="F322" i="1"/>
  <c r="F323" i="1"/>
  <c r="F324" i="1"/>
  <c r="F325" i="1"/>
  <c r="F332" i="1"/>
  <c r="F326" i="1"/>
  <c r="F368" i="1"/>
  <c r="F369" i="1"/>
  <c r="F370" i="1"/>
  <c r="F490" i="1"/>
  <c r="F593" i="1"/>
  <c r="F594" i="1"/>
  <c r="F595" i="1"/>
  <c r="F193" i="1"/>
  <c r="F194" i="1"/>
  <c r="F195" i="1"/>
  <c r="F196" i="1"/>
  <c r="F245" i="1"/>
  <c r="F246" i="1"/>
  <c r="F247" i="1"/>
  <c r="F248" i="1"/>
  <c r="F249" i="1"/>
  <c r="F250" i="1"/>
  <c r="F251" i="1"/>
  <c r="F252" i="1"/>
  <c r="F286" i="1"/>
  <c r="F287" i="1"/>
  <c r="F288" i="1"/>
  <c r="F289" i="1"/>
  <c r="F290" i="1"/>
  <c r="F291" i="1"/>
  <c r="F292" i="1"/>
  <c r="F293" i="1"/>
  <c r="F294" i="1"/>
  <c r="F327" i="1"/>
  <c r="F328" i="1"/>
  <c r="F329" i="1"/>
  <c r="F330" i="1"/>
  <c r="F331" i="1"/>
  <c r="F371" i="1"/>
  <c r="F536" i="1"/>
  <c r="F554" i="1"/>
  <c r="F538" i="1"/>
  <c r="F537" i="1"/>
  <c r="F539" i="1"/>
  <c r="F540" i="1"/>
  <c r="F541" i="1"/>
  <c r="F568" i="1"/>
  <c r="F569" i="1"/>
  <c r="F570" i="1"/>
  <c r="F596" i="1"/>
  <c r="F597" i="1"/>
  <c r="F598" i="1"/>
  <c r="F614" i="1"/>
  <c r="F615" i="1"/>
  <c r="F616" i="1"/>
  <c r="F107" i="1"/>
  <c r="F108" i="1"/>
  <c r="F109" i="1"/>
  <c r="F110" i="1"/>
  <c r="F133" i="1"/>
  <c r="F134" i="1"/>
  <c r="F135" i="1"/>
  <c r="F136" i="1"/>
  <c r="F149" i="1"/>
  <c r="F150" i="1"/>
  <c r="F151" i="1"/>
  <c r="F197" i="1"/>
  <c r="F198" i="1"/>
  <c r="F199" i="1"/>
  <c r="F372" i="1"/>
  <c r="F373" i="1"/>
  <c r="F374" i="1"/>
  <c r="F415" i="1"/>
  <c r="F416" i="1"/>
  <c r="F417" i="1"/>
  <c r="F418" i="1"/>
  <c r="F440" i="1"/>
  <c r="F441" i="1"/>
  <c r="F442" i="1"/>
  <c r="F456" i="1"/>
  <c r="F457" i="1"/>
  <c r="F458" i="1"/>
  <c r="F459" i="1"/>
  <c r="F460" i="1"/>
  <c r="F461" i="1"/>
  <c r="F462" i="1"/>
  <c r="F491" i="1"/>
  <c r="F492" i="1"/>
  <c r="F493" i="1"/>
  <c r="F494" i="1"/>
  <c r="F495" i="1"/>
  <c r="F496" i="1"/>
  <c r="F497" i="1"/>
  <c r="F498" i="1"/>
  <c r="F542" i="1"/>
  <c r="F543" i="1"/>
  <c r="F544" i="1"/>
  <c r="F545" i="1"/>
  <c r="F546" i="1"/>
  <c r="F547" i="1"/>
  <c r="F548" i="1"/>
  <c r="F549" i="1"/>
  <c r="F550" i="1"/>
  <c r="F551" i="1"/>
  <c r="F571" i="1"/>
  <c r="F572" i="1"/>
  <c r="F573" i="1"/>
  <c r="F574" i="1"/>
  <c r="F575" i="1"/>
  <c r="F576" i="1"/>
  <c r="F577" i="1"/>
  <c r="F578" i="1"/>
  <c r="F579" i="1"/>
  <c r="F599" i="1"/>
  <c r="F600" i="1"/>
  <c r="F601" i="1"/>
  <c r="F602" i="1"/>
  <c r="F603" i="1"/>
  <c r="F604" i="1"/>
  <c r="F605" i="1"/>
  <c r="F85" i="1"/>
  <c r="F111" i="1"/>
  <c r="F86" i="1"/>
  <c r="F112" i="1"/>
  <c r="F113" i="1"/>
  <c r="F114" i="1"/>
  <c r="F137" i="1"/>
  <c r="F138" i="1"/>
  <c r="F139" i="1"/>
  <c r="F152" i="1"/>
  <c r="F173" i="1"/>
  <c r="F174" i="1"/>
  <c r="F224" i="1"/>
  <c r="F225" i="1"/>
  <c r="F226" i="1"/>
  <c r="F227" i="1"/>
  <c r="F228" i="1"/>
  <c r="F229" i="1"/>
  <c r="F262" i="1"/>
  <c r="F263" i="1"/>
  <c r="F264" i="1"/>
  <c r="F265" i="1"/>
  <c r="F303" i="1"/>
  <c r="F304" i="1"/>
  <c r="F305" i="1"/>
  <c r="F306" i="1"/>
  <c r="F344" i="1"/>
  <c r="F345" i="1"/>
  <c r="F346" i="1"/>
  <c r="F347" i="1"/>
  <c r="F348" i="1"/>
  <c r="F349" i="1"/>
  <c r="F350" i="1"/>
  <c r="F351" i="1"/>
  <c r="F386" i="1"/>
  <c r="F387" i="1"/>
  <c r="F388" i="1"/>
  <c r="F389" i="1"/>
  <c r="F390" i="1"/>
  <c r="F391" i="1"/>
  <c r="F425" i="1"/>
  <c r="F426" i="1"/>
  <c r="F453" i="1"/>
  <c r="F454" i="1"/>
  <c r="F455" i="1"/>
  <c r="F486" i="1"/>
  <c r="F487" i="1"/>
  <c r="F561" i="1"/>
  <c r="F562" i="1"/>
  <c r="F563" i="1"/>
  <c r="F591" i="1"/>
  <c r="F592" i="1"/>
  <c r="F617" i="1"/>
  <c r="F618" i="1"/>
  <c r="F619" i="1"/>
  <c r="F26" i="1"/>
  <c r="F43" i="1"/>
  <c r="F44" i="1"/>
  <c r="F45" i="1"/>
  <c r="F53" i="1"/>
  <c r="F54" i="1"/>
  <c r="F55" i="1"/>
  <c r="F56" i="1"/>
  <c r="F57" i="1"/>
  <c r="F73" i="1"/>
  <c r="F74" i="1"/>
  <c r="F75" i="1"/>
  <c r="F76" i="1"/>
  <c r="F77" i="1"/>
  <c r="F103" i="1"/>
  <c r="F104" i="1"/>
  <c r="F105" i="1"/>
  <c r="F106" i="1"/>
  <c r="F129" i="1"/>
  <c r="F130" i="1"/>
  <c r="F131" i="1"/>
  <c r="F132" i="1"/>
  <c r="F146" i="1"/>
  <c r="F147" i="1"/>
  <c r="F148" i="1"/>
  <c r="F175" i="1"/>
  <c r="F176" i="1"/>
  <c r="F177" i="1"/>
  <c r="F178" i="1"/>
  <c r="F179" i="1"/>
  <c r="F230" i="1"/>
  <c r="F231" i="1"/>
  <c r="F232" i="1"/>
  <c r="F233" i="1"/>
  <c r="F234" i="1"/>
  <c r="F235" i="1"/>
  <c r="F236" i="1"/>
  <c r="F266" i="1"/>
  <c r="F267" i="1"/>
  <c r="F307" i="1"/>
  <c r="F308" i="1"/>
  <c r="F352" i="1"/>
  <c r="F353" i="1"/>
  <c r="F392" i="1"/>
  <c r="F393" i="1"/>
  <c r="F394" i="1"/>
  <c r="F395" i="1"/>
  <c r="F396" i="1"/>
  <c r="F427" i="1"/>
  <c r="F428" i="1"/>
  <c r="F429" i="1"/>
  <c r="F430" i="1"/>
  <c r="F431" i="1"/>
  <c r="F432" i="1"/>
  <c r="F397" i="1"/>
  <c r="F488" i="1"/>
  <c r="F489" i="1"/>
  <c r="F620" i="1"/>
  <c r="F621" i="1"/>
  <c r="F27" i="1"/>
  <c r="D10" i="5"/>
  <c r="D26" i="23"/>
  <c r="D27" i="23" s="1"/>
  <c r="D28" i="23" s="1"/>
  <c r="D29" i="23" s="1"/>
  <c r="D30" i="23" s="1"/>
  <c r="D13" i="23"/>
  <c r="D14" i="23" s="1"/>
  <c r="D15" i="23" s="1"/>
  <c r="D16" i="23" s="1"/>
  <c r="D17" i="23" s="1"/>
  <c r="D18" i="23" s="1"/>
  <c r="D19" i="23" s="1"/>
  <c r="D20" i="23" s="1"/>
  <c r="D21" i="23" s="1"/>
  <c r="D22" i="23" s="1"/>
  <c r="D23" i="23" s="1"/>
  <c r="D24" i="23" s="1"/>
  <c r="D25" i="23" s="1"/>
  <c r="D7" i="23"/>
  <c r="D8" i="23" s="1"/>
  <c r="D9" i="23" s="1"/>
  <c r="D10" i="23" s="1"/>
  <c r="D11" i="23" s="1"/>
  <c r="D12" i="23" s="1"/>
  <c r="D2" i="23"/>
  <c r="D3" i="23" s="1"/>
  <c r="D4" i="23" s="1"/>
  <c r="D5" i="23" s="1"/>
  <c r="D6" i="23" s="1"/>
  <c r="M8" i="2"/>
  <c r="M11" i="2"/>
  <c r="M9" i="2"/>
  <c r="M3" i="2"/>
  <c r="M16" i="2"/>
  <c r="M13" i="2"/>
  <c r="M10" i="2"/>
  <c r="E9" i="2"/>
  <c r="E11" i="2"/>
  <c r="E10" i="2"/>
  <c r="E8" i="2"/>
  <c r="H556" i="6" l="1"/>
  <c r="H557" i="6" s="1"/>
  <c r="H558" i="6" s="1"/>
  <c r="H559" i="6" s="1"/>
  <c r="H560" i="6" s="1"/>
  <c r="H561" i="6" s="1"/>
  <c r="H562" i="6" s="1"/>
  <c r="H563" i="6" s="1"/>
  <c r="H564" i="6" s="1"/>
  <c r="H565" i="6" s="1"/>
  <c r="H566" i="6" s="1"/>
  <c r="H567" i="6" s="1"/>
  <c r="H568" i="6" s="1"/>
  <c r="H569" i="6" s="1"/>
  <c r="H570" i="6" s="1"/>
  <c r="H571" i="6" s="1"/>
  <c r="H572" i="6" s="1"/>
  <c r="H573" i="6" s="1"/>
  <c r="H574" i="6" s="1"/>
  <c r="H575" i="6" s="1"/>
  <c r="H576" i="6" s="1"/>
  <c r="H577" i="6" s="1"/>
  <c r="H578" i="6" s="1"/>
  <c r="H579" i="6" s="1"/>
  <c r="H580" i="6" s="1"/>
  <c r="H581" i="6" s="1"/>
  <c r="H582" i="6" s="1"/>
  <c r="H583" i="6" s="1"/>
  <c r="H584" i="6" s="1"/>
  <c r="H585" i="6" s="1"/>
  <c r="H586" i="6" s="1"/>
  <c r="H587" i="6" s="1"/>
  <c r="H588" i="6" s="1"/>
  <c r="H589" i="6" s="1"/>
  <c r="H590" i="6" s="1"/>
  <c r="H591" i="6" s="1"/>
  <c r="H592" i="6" s="1"/>
  <c r="H593" i="6" s="1"/>
  <c r="H594" i="6" s="1"/>
  <c r="H595" i="6" s="1"/>
  <c r="H596" i="6" s="1"/>
  <c r="H597" i="6" s="1"/>
  <c r="H598" i="6" s="1"/>
  <c r="H599" i="6" s="1"/>
  <c r="H600" i="6" s="1"/>
  <c r="H601" i="6" s="1"/>
  <c r="H602" i="6" s="1"/>
  <c r="H603" i="6" s="1"/>
  <c r="H604" i="6" s="1"/>
  <c r="H605" i="6" s="1"/>
  <c r="E606" i="6"/>
  <c r="F606" i="6"/>
  <c r="D10" i="2"/>
  <c r="D8" i="2"/>
  <c r="D3" i="2"/>
  <c r="D9" i="2"/>
  <c r="F510" i="6" l="1"/>
  <c r="E510" i="6"/>
  <c r="H453" i="6"/>
  <c r="H454" i="6" s="1"/>
  <c r="H455" i="6" s="1"/>
  <c r="H456" i="6" s="1"/>
  <c r="H457" i="6" s="1"/>
  <c r="H458" i="6" s="1"/>
  <c r="H459" i="6" s="1"/>
  <c r="H460" i="6" s="1"/>
  <c r="H461" i="6" s="1"/>
  <c r="H462" i="6" s="1"/>
  <c r="H463" i="6" s="1"/>
  <c r="H464" i="6" s="1"/>
  <c r="H465" i="6" s="1"/>
  <c r="H466" i="6" s="1"/>
  <c r="H467" i="6" s="1"/>
  <c r="H468" i="6" s="1"/>
  <c r="H469" i="6" s="1"/>
  <c r="H470" i="6" s="1"/>
  <c r="H471" i="6" s="1"/>
  <c r="H472" i="6" s="1"/>
  <c r="H473" i="6" s="1"/>
  <c r="H474" i="6" s="1"/>
  <c r="H475" i="6" s="1"/>
  <c r="H476" i="6" s="1"/>
  <c r="H477" i="6" s="1"/>
  <c r="H478" i="6" s="1"/>
  <c r="H479" i="6" s="1"/>
  <c r="H480" i="6" s="1"/>
  <c r="H481" i="6" s="1"/>
  <c r="H482" i="6" s="1"/>
  <c r="H483" i="6" s="1"/>
  <c r="H484" i="6" s="1"/>
  <c r="H485" i="6" s="1"/>
  <c r="H486" i="6" s="1"/>
  <c r="H487" i="6" s="1"/>
  <c r="H488" i="6" s="1"/>
  <c r="H489" i="6" s="1"/>
  <c r="H490" i="6" s="1"/>
  <c r="H491" i="6" s="1"/>
  <c r="H492" i="6" s="1"/>
  <c r="H493" i="6" s="1"/>
  <c r="H494" i="6" s="1"/>
  <c r="H495" i="6" s="1"/>
  <c r="H496" i="6" s="1"/>
  <c r="H497" i="6" s="1"/>
  <c r="H498" i="6" s="1"/>
  <c r="H499" i="6" s="1"/>
  <c r="H500" i="6" s="1"/>
  <c r="H501" i="6" s="1"/>
  <c r="H502" i="6" s="1"/>
  <c r="H503" i="6" s="1"/>
  <c r="H504" i="6" s="1"/>
  <c r="H505" i="6" s="1"/>
  <c r="H506" i="6" s="1"/>
  <c r="H507" i="6" s="1"/>
  <c r="H508" i="6" s="1"/>
  <c r="H509" i="6" s="1"/>
  <c r="F447" i="6" l="1"/>
  <c r="E447" i="6"/>
  <c r="H386" i="6"/>
  <c r="H387" i="6" s="1"/>
  <c r="H388" i="6" s="1"/>
  <c r="H389" i="6" s="1"/>
  <c r="H390" i="6" s="1"/>
  <c r="H391" i="6" s="1"/>
  <c r="H392" i="6" s="1"/>
  <c r="H393" i="6" s="1"/>
  <c r="H394" i="6" s="1"/>
  <c r="H395" i="6" s="1"/>
  <c r="H396" i="6" s="1"/>
  <c r="H397" i="6" s="1"/>
  <c r="H398" i="6" s="1"/>
  <c r="H399" i="6" s="1"/>
  <c r="H400" i="6" s="1"/>
  <c r="H401" i="6" s="1"/>
  <c r="H402" i="6" s="1"/>
  <c r="H403" i="6" s="1"/>
  <c r="H404" i="6" s="1"/>
  <c r="H405" i="6" s="1"/>
  <c r="H406" i="6" s="1"/>
  <c r="H407" i="6" s="1"/>
  <c r="H408" i="6" s="1"/>
  <c r="H409" i="6" s="1"/>
  <c r="H410" i="6" s="1"/>
  <c r="H411" i="6" s="1"/>
  <c r="H412" i="6" s="1"/>
  <c r="H413" i="6" s="1"/>
  <c r="H414" i="6" s="1"/>
  <c r="H415" i="6" s="1"/>
  <c r="H416" i="6" s="1"/>
  <c r="H417" i="6" s="1"/>
  <c r="H418" i="6" s="1"/>
  <c r="H419" i="6" s="1"/>
  <c r="H420" i="6" s="1"/>
  <c r="H421" i="6" s="1"/>
  <c r="H422" i="6" s="1"/>
  <c r="H423" i="6" s="1"/>
  <c r="H424" i="6" s="1"/>
  <c r="H425" i="6" s="1"/>
  <c r="H426" i="6" s="1"/>
  <c r="H427" i="6" s="1"/>
  <c r="H428" i="6" s="1"/>
  <c r="H429" i="6" s="1"/>
  <c r="H430" i="6" s="1"/>
  <c r="H431" i="6" s="1"/>
  <c r="H432" i="6" s="1"/>
  <c r="H433" i="6" s="1"/>
  <c r="H434" i="6" s="1"/>
  <c r="H435" i="6" s="1"/>
  <c r="H436" i="6" s="1"/>
  <c r="H437" i="6" s="1"/>
  <c r="H438" i="6" s="1"/>
  <c r="H439" i="6" s="1"/>
  <c r="H440" i="6" s="1"/>
  <c r="H441" i="6" s="1"/>
  <c r="H442" i="6" s="1"/>
  <c r="H443" i="6" s="1"/>
  <c r="H444" i="6" s="1"/>
  <c r="H445" i="6" s="1"/>
  <c r="H446" i="6" s="1"/>
  <c r="F380" i="6" l="1"/>
  <c r="E380" i="6"/>
  <c r="H314" i="6"/>
  <c r="H315" i="6" s="1"/>
  <c r="H316" i="6" s="1"/>
  <c r="H317" i="6" s="1"/>
  <c r="H318" i="6" s="1"/>
  <c r="H319" i="6" s="1"/>
  <c r="H320" i="6" s="1"/>
  <c r="H321" i="6" s="1"/>
  <c r="H322" i="6" s="1"/>
  <c r="H323" i="6" s="1"/>
  <c r="H324" i="6" s="1"/>
  <c r="H325" i="6" s="1"/>
  <c r="H326" i="6" s="1"/>
  <c r="H327" i="6" s="1"/>
  <c r="H328" i="6" s="1"/>
  <c r="H329" i="6" s="1"/>
  <c r="H330" i="6" s="1"/>
  <c r="H331" i="6" s="1"/>
  <c r="H332" i="6" s="1"/>
  <c r="H333" i="6" s="1"/>
  <c r="H334" i="6" s="1"/>
  <c r="H335" i="6" s="1"/>
  <c r="H336" i="6" s="1"/>
  <c r="H337" i="6" s="1"/>
  <c r="H338" i="6" s="1"/>
  <c r="H339" i="6" s="1"/>
  <c r="H340" i="6" s="1"/>
  <c r="H341" i="6" s="1"/>
  <c r="H342" i="6" s="1"/>
  <c r="H343" i="6" s="1"/>
  <c r="H344" i="6" s="1"/>
  <c r="H345" i="6" s="1"/>
  <c r="H346" i="6" s="1"/>
  <c r="H347" i="6" s="1"/>
  <c r="H348" i="6" s="1"/>
  <c r="H349" i="6" s="1"/>
  <c r="H350" i="6" s="1"/>
  <c r="H351" i="6" s="1"/>
  <c r="H352" i="6" s="1"/>
  <c r="H353" i="6" s="1"/>
  <c r="H354" i="6" s="1"/>
  <c r="H355" i="6" s="1"/>
  <c r="H356" i="6" s="1"/>
  <c r="H357" i="6" s="1"/>
  <c r="H358" i="6" s="1"/>
  <c r="H359" i="6" s="1"/>
  <c r="H360" i="6" s="1"/>
  <c r="H361" i="6" s="1"/>
  <c r="H362" i="6" s="1"/>
  <c r="H363" i="6" s="1"/>
  <c r="H364" i="6" s="1"/>
  <c r="H365" i="6" s="1"/>
  <c r="H366" i="6" s="1"/>
  <c r="H367" i="6" s="1"/>
  <c r="H368" i="6" s="1"/>
  <c r="H369" i="6" s="1"/>
  <c r="H370" i="6" s="1"/>
  <c r="H371" i="6" s="1"/>
  <c r="H372" i="6" s="1"/>
  <c r="H373" i="6" s="1"/>
  <c r="H374" i="6" s="1"/>
  <c r="H375" i="6" s="1"/>
  <c r="H376" i="6" s="1"/>
  <c r="H377" i="6" s="1"/>
  <c r="H378" i="6" s="1"/>
  <c r="H379" i="6" s="1"/>
  <c r="F308" i="6" l="1"/>
  <c r="E308" i="6"/>
  <c r="H226" i="6"/>
  <c r="H227" i="6" s="1"/>
  <c r="H228" i="6" s="1"/>
  <c r="H229" i="6" s="1"/>
  <c r="H230" i="6" s="1"/>
  <c r="H231" i="6" s="1"/>
  <c r="H232" i="6" s="1"/>
  <c r="H233" i="6" s="1"/>
  <c r="H234" i="6" s="1"/>
  <c r="H235" i="6" s="1"/>
  <c r="H236" i="6" s="1"/>
  <c r="H237" i="6" s="1"/>
  <c r="H238" i="6" s="1"/>
  <c r="H239" i="6" s="1"/>
  <c r="H240" i="6" s="1"/>
  <c r="H241" i="6" s="1"/>
  <c r="H242" i="6" s="1"/>
  <c r="H243" i="6" s="1"/>
  <c r="H244" i="6" s="1"/>
  <c r="H245" i="6" s="1"/>
  <c r="H246" i="6" s="1"/>
  <c r="H247" i="6" s="1"/>
  <c r="H248" i="6" s="1"/>
  <c r="H249" i="6" s="1"/>
  <c r="H250" i="6" s="1"/>
  <c r="H251" i="6" s="1"/>
  <c r="H252" i="6" s="1"/>
  <c r="H253" i="6" s="1"/>
  <c r="H254" i="6" s="1"/>
  <c r="H255" i="6" s="1"/>
  <c r="H256" i="6" s="1"/>
  <c r="H257" i="6" s="1"/>
  <c r="H258" i="6" s="1"/>
  <c r="H259" i="6" s="1"/>
  <c r="H260" i="6" s="1"/>
  <c r="H261" i="6" s="1"/>
  <c r="H262" i="6" s="1"/>
  <c r="H263" i="6" s="1"/>
  <c r="H264" i="6" s="1"/>
  <c r="H265" i="6" s="1"/>
  <c r="H266" i="6" s="1"/>
  <c r="H267" i="6" s="1"/>
  <c r="H268" i="6" s="1"/>
  <c r="H269" i="6" s="1"/>
  <c r="H270" i="6" s="1"/>
  <c r="H271" i="6" s="1"/>
  <c r="H272" i="6" s="1"/>
  <c r="H273" i="6" s="1"/>
  <c r="H274" i="6" s="1"/>
  <c r="H275" i="6" s="1"/>
  <c r="H276" i="6" s="1"/>
  <c r="H277" i="6" s="1"/>
  <c r="H278" i="6" s="1"/>
  <c r="H279" i="6" s="1"/>
  <c r="H280" i="6" s="1"/>
  <c r="H281" i="6" s="1"/>
  <c r="H282" i="6" s="1"/>
  <c r="H283" i="6" s="1"/>
  <c r="H284" i="6" s="1"/>
  <c r="H285" i="6" s="1"/>
  <c r="H286" i="6" s="1"/>
  <c r="H287" i="6" s="1"/>
  <c r="H288" i="6" s="1"/>
  <c r="H289" i="6" s="1"/>
  <c r="H290" i="6" s="1"/>
  <c r="H291" i="6" s="1"/>
  <c r="H292" i="6" s="1"/>
  <c r="H293" i="6" s="1"/>
  <c r="H294" i="6" s="1"/>
  <c r="H295" i="6" s="1"/>
  <c r="H296" i="6" s="1"/>
  <c r="H297" i="6" s="1"/>
  <c r="H298" i="6" s="1"/>
  <c r="H299" i="6" s="1"/>
  <c r="H300" i="6" s="1"/>
  <c r="H301" i="6" s="1"/>
  <c r="H302" i="6" s="1"/>
  <c r="H303" i="6" s="1"/>
  <c r="H304" i="6" s="1"/>
  <c r="H305" i="6" s="1"/>
  <c r="H306" i="6" s="1"/>
  <c r="H307" i="6" s="1"/>
  <c r="E220" i="6" l="1"/>
  <c r="F220" i="6"/>
  <c r="H68" i="6" l="1"/>
  <c r="H69" i="6" s="1"/>
  <c r="H70" i="6" s="1"/>
  <c r="H71" i="6" s="1"/>
  <c r="H72" i="6" s="1"/>
  <c r="H73" i="6" s="1"/>
  <c r="H74" i="6" s="1"/>
  <c r="H75" i="6" s="1"/>
  <c r="H76" i="6" s="1"/>
  <c r="H77" i="6" s="1"/>
  <c r="H78" i="6" s="1"/>
  <c r="H79" i="6" s="1"/>
  <c r="H80" i="6" s="1"/>
  <c r="H81" i="6" s="1"/>
  <c r="H82" i="6" s="1"/>
  <c r="H83" i="6" s="1"/>
  <c r="H84" i="6" s="1"/>
  <c r="H85" i="6" s="1"/>
  <c r="H86" i="6" s="1"/>
  <c r="H87" i="6" s="1"/>
  <c r="H88" i="6" s="1"/>
  <c r="H89" i="6" s="1"/>
  <c r="H90" i="6" s="1"/>
  <c r="H91" i="6" s="1"/>
  <c r="H92" i="6" s="1"/>
  <c r="H93" i="6" s="1"/>
  <c r="H94" i="6" s="1"/>
  <c r="H95" i="6" s="1"/>
  <c r="H96" i="6" s="1"/>
  <c r="H97" i="6" s="1"/>
  <c r="H98" i="6" s="1"/>
  <c r="H99" i="6" s="1"/>
  <c r="H100" i="6" s="1"/>
  <c r="H101" i="6" s="1"/>
  <c r="H102" i="6" s="1"/>
  <c r="H103" i="6" s="1"/>
  <c r="H104" i="6" s="1"/>
  <c r="H105" i="6" s="1"/>
  <c r="H106" i="6" s="1"/>
  <c r="H107" i="6" s="1"/>
  <c r="H108" i="6" s="1"/>
  <c r="H109" i="6" s="1"/>
  <c r="H110" i="6" s="1"/>
  <c r="H111" i="6" s="1"/>
  <c r="H112" i="6" s="1"/>
  <c r="G3" i="3" l="1"/>
  <c r="G4" i="3" s="1"/>
  <c r="G5" i="3" s="1"/>
  <c r="G6" i="3" s="1"/>
  <c r="G7" i="3" s="1"/>
  <c r="G8" i="3" s="1"/>
  <c r="G9" i="3" s="1"/>
  <c r="G10" i="3" s="1"/>
  <c r="G11" i="3" s="1"/>
  <c r="G12" i="3" s="1"/>
  <c r="G13" i="3" s="1"/>
  <c r="G14" i="3" s="1"/>
  <c r="G15" i="3" s="1"/>
  <c r="G16" i="3" s="1"/>
  <c r="G17" i="3" s="1"/>
  <c r="G18" i="3" s="1"/>
  <c r="G19" i="3" s="1"/>
  <c r="G20" i="3" s="1"/>
  <c r="G21" i="3" s="1"/>
  <c r="G22" i="3" s="1"/>
  <c r="G23" i="3" s="1"/>
  <c r="G24" i="3" s="1"/>
  <c r="G25" i="3" s="1"/>
  <c r="G26" i="3" s="1"/>
  <c r="G27" i="3" s="1"/>
  <c r="G28" i="3" s="1"/>
  <c r="G29" i="3" s="1"/>
  <c r="G30" i="3" s="1"/>
  <c r="G31" i="3" s="1"/>
  <c r="G32" i="3" s="1"/>
  <c r="G33" i="3" s="1"/>
  <c r="G34" i="3" s="1"/>
  <c r="G35" i="3" s="1"/>
  <c r="G36" i="3" s="1"/>
  <c r="G37" i="3" s="1"/>
  <c r="G38" i="3" s="1"/>
  <c r="G39" i="3" s="1"/>
  <c r="G40" i="3" s="1"/>
  <c r="G41" i="3" s="1"/>
  <c r="G42" i="3" s="1"/>
  <c r="G43" i="3" s="1"/>
  <c r="G44" i="3" s="1"/>
  <c r="G45" i="3" s="1"/>
  <c r="G46" i="3" s="1"/>
  <c r="G47" i="3" s="1"/>
  <c r="G48" i="3" s="1"/>
  <c r="G49" i="3" s="1"/>
  <c r="G50" i="3" s="1"/>
  <c r="G51" i="3" s="1"/>
  <c r="G52" i="3" s="1"/>
  <c r="G53" i="3" s="1"/>
  <c r="G54" i="3" s="1"/>
  <c r="G55" i="3" s="1"/>
  <c r="G56" i="3" s="1"/>
  <c r="G57" i="3" s="1"/>
  <c r="G58" i="3" s="1"/>
  <c r="G59" i="3" s="1"/>
  <c r="G60" i="3" s="1"/>
  <c r="G61" i="3" s="1"/>
  <c r="G62" i="3" s="1"/>
  <c r="G63" i="3" s="1"/>
  <c r="G64" i="3" s="1"/>
  <c r="G65" i="3" s="1"/>
  <c r="G66" i="3" s="1"/>
  <c r="G67" i="3" s="1"/>
  <c r="G68" i="3" s="1"/>
  <c r="G69" i="3" s="1"/>
  <c r="G70" i="3" s="1"/>
  <c r="G71" i="3" s="1"/>
  <c r="G72" i="3" s="1"/>
  <c r="G73" i="3" s="1"/>
  <c r="G74" i="3" s="1"/>
  <c r="G75" i="3" s="1"/>
  <c r="G76" i="3" s="1"/>
  <c r="H25" i="2" s="1"/>
  <c r="F23" i="7" l="1"/>
  <c r="F1373" i="26"/>
  <c r="F1372" i="26"/>
  <c r="F1371" i="26"/>
  <c r="F1370" i="26"/>
  <c r="F1369" i="26"/>
  <c r="F1368" i="26"/>
  <c r="F1367" i="26"/>
  <c r="F1366" i="26"/>
  <c r="F1365" i="26"/>
  <c r="F1364" i="26"/>
  <c r="F1363" i="26"/>
  <c r="F1362" i="26"/>
  <c r="F1361" i="26"/>
  <c r="F1360" i="26"/>
  <c r="F1359" i="26"/>
  <c r="F1358" i="26"/>
  <c r="F1357" i="26"/>
  <c r="F1356" i="26"/>
  <c r="F1355" i="26"/>
  <c r="F1354" i="26"/>
  <c r="F1353" i="26"/>
  <c r="F1352" i="26"/>
  <c r="F1351" i="26"/>
  <c r="F1350" i="26"/>
  <c r="F1349" i="26"/>
  <c r="F1348" i="26"/>
  <c r="F1347" i="26"/>
  <c r="F1346" i="26"/>
  <c r="F1345" i="26"/>
  <c r="F1344" i="26"/>
  <c r="F1343" i="26"/>
  <c r="F1342" i="26"/>
  <c r="F1341" i="26"/>
  <c r="F1340" i="26"/>
  <c r="F1339" i="26"/>
  <c r="F1338" i="26"/>
  <c r="F1337" i="26"/>
  <c r="F1336" i="26"/>
  <c r="F1335" i="26"/>
  <c r="F1334" i="26"/>
  <c r="F1333" i="26"/>
  <c r="F1332" i="26"/>
  <c r="F1331" i="26"/>
  <c r="F1330" i="26"/>
  <c r="F1329" i="26"/>
  <c r="F1328" i="26"/>
  <c r="F1327" i="26"/>
  <c r="F1326" i="26"/>
  <c r="F1325" i="26"/>
  <c r="F1324" i="26"/>
  <c r="F1323" i="26"/>
  <c r="F1322" i="26"/>
  <c r="F1321" i="26"/>
  <c r="F1320" i="26"/>
  <c r="F1319" i="26"/>
  <c r="F1318" i="26"/>
  <c r="F1317" i="26"/>
  <c r="F1316" i="26"/>
  <c r="F1315" i="26"/>
  <c r="F1314" i="26"/>
  <c r="F1313" i="26"/>
  <c r="F1312" i="26"/>
  <c r="F1311" i="26"/>
  <c r="F1310" i="26"/>
  <c r="F1309" i="26"/>
  <c r="F1308" i="26"/>
  <c r="F1307" i="26"/>
  <c r="F1306" i="26"/>
  <c r="F1305" i="26"/>
  <c r="F1304" i="26"/>
  <c r="F1303" i="26"/>
  <c r="F1302" i="26"/>
  <c r="F1301" i="26"/>
  <c r="F1300" i="26"/>
  <c r="F1299" i="26"/>
  <c r="F1298" i="26"/>
  <c r="F1297" i="26"/>
  <c r="F1296" i="26"/>
  <c r="F1295" i="26"/>
  <c r="F1294" i="26"/>
  <c r="F1293" i="26"/>
  <c r="F1292" i="26"/>
  <c r="F1291" i="26"/>
  <c r="F1290" i="26"/>
  <c r="F1289" i="26"/>
  <c r="F1288" i="26"/>
  <c r="F1287" i="26"/>
  <c r="F1286" i="26"/>
  <c r="F1285" i="26"/>
  <c r="F1284" i="26"/>
  <c r="G1283" i="26"/>
  <c r="F1282" i="26"/>
  <c r="F1281" i="26"/>
  <c r="F1280" i="26"/>
  <c r="F1279" i="26"/>
  <c r="F1278" i="26"/>
  <c r="F1277" i="26"/>
  <c r="F1276" i="26"/>
  <c r="F1275" i="26"/>
  <c r="F1274" i="26"/>
  <c r="F1273" i="26"/>
  <c r="F1272" i="26"/>
  <c r="F1271" i="26"/>
  <c r="F1270" i="26"/>
  <c r="F1269" i="26"/>
  <c r="F1268" i="26"/>
  <c r="F1267" i="26"/>
  <c r="F1266" i="26"/>
  <c r="F1265" i="26"/>
  <c r="F1264" i="26"/>
  <c r="F1263" i="26"/>
  <c r="F1262" i="26"/>
  <c r="F1261" i="26"/>
  <c r="F1260" i="26"/>
  <c r="F1259" i="26"/>
  <c r="F1258" i="26"/>
  <c r="F1257" i="26"/>
  <c r="F1256" i="26"/>
  <c r="F1255" i="26"/>
  <c r="F1254" i="26"/>
  <c r="F1253" i="26"/>
  <c r="F1252" i="26"/>
  <c r="F1251" i="26"/>
  <c r="F1250" i="26"/>
  <c r="F1249" i="26"/>
  <c r="F1248" i="26"/>
  <c r="F1247" i="26"/>
  <c r="F1246" i="26"/>
  <c r="F1245" i="26"/>
  <c r="F1244" i="26"/>
  <c r="F1243" i="26"/>
  <c r="F1242" i="26"/>
  <c r="F1241" i="26"/>
  <c r="F1240" i="26"/>
  <c r="F1239" i="26"/>
  <c r="F1238" i="26"/>
  <c r="F1237" i="26"/>
  <c r="F1236" i="26"/>
  <c r="F1235" i="26"/>
  <c r="F1234" i="26"/>
  <c r="F1233" i="26"/>
  <c r="F1232" i="26"/>
  <c r="F1231" i="26"/>
  <c r="F1230" i="26"/>
  <c r="F1229" i="26"/>
  <c r="F1228" i="26"/>
  <c r="F1227" i="26"/>
  <c r="F1226" i="26"/>
  <c r="F1225" i="26"/>
  <c r="F1224" i="26"/>
  <c r="F1223" i="26"/>
  <c r="F1222" i="26"/>
  <c r="F1221" i="26"/>
  <c r="F1220" i="26"/>
  <c r="F1219" i="26"/>
  <c r="F1218" i="26"/>
  <c r="F1217" i="26"/>
  <c r="F1216" i="26"/>
  <c r="F1215" i="26"/>
  <c r="F1214" i="26"/>
  <c r="F1213" i="26"/>
  <c r="G1212" i="26"/>
  <c r="F1211" i="26"/>
  <c r="F1210" i="26"/>
  <c r="F1209" i="26"/>
  <c r="F1208" i="26"/>
  <c r="F1207" i="26"/>
  <c r="F1206" i="26"/>
  <c r="F1205" i="26"/>
  <c r="F1204" i="26"/>
  <c r="F1203" i="26"/>
  <c r="F1202" i="26"/>
  <c r="F1201" i="26"/>
  <c r="F1200" i="26"/>
  <c r="F1199" i="26"/>
  <c r="F1198" i="26"/>
  <c r="F1197" i="26"/>
  <c r="F1196" i="26"/>
  <c r="F1195" i="26"/>
  <c r="F1194" i="26"/>
  <c r="F1193" i="26"/>
  <c r="F1192" i="26"/>
  <c r="F1191" i="26"/>
  <c r="F1190" i="26"/>
  <c r="F1189" i="26"/>
  <c r="F1188" i="26"/>
  <c r="F1187" i="26"/>
  <c r="F1186" i="26"/>
  <c r="F1185" i="26"/>
  <c r="F1184" i="26"/>
  <c r="F1183" i="26"/>
  <c r="F1182" i="26"/>
  <c r="F1181" i="26"/>
  <c r="F1180" i="26"/>
  <c r="F1179" i="26"/>
  <c r="F1178" i="26"/>
  <c r="F1177" i="26"/>
  <c r="F1176" i="26"/>
  <c r="F1175" i="26"/>
  <c r="F1174" i="26"/>
  <c r="F1173" i="26"/>
  <c r="F1172" i="26"/>
  <c r="F1171" i="26"/>
  <c r="F1170" i="26"/>
  <c r="F1169" i="26"/>
  <c r="F1168" i="26"/>
  <c r="F1167" i="26"/>
  <c r="F1166" i="26"/>
  <c r="F1165" i="26"/>
  <c r="F381" i="1" l="1"/>
  <c r="C12" i="2"/>
  <c r="G13" i="2"/>
  <c r="G5" i="2"/>
  <c r="G10" i="2"/>
  <c r="G2" i="2"/>
  <c r="G11" i="2"/>
  <c r="G12" i="2"/>
  <c r="G14" i="2"/>
  <c r="G15" i="2"/>
  <c r="G16" i="2"/>
  <c r="G9" i="2"/>
  <c r="E15" i="2"/>
  <c r="E13" i="2"/>
  <c r="E3" i="2"/>
  <c r="E14" i="2"/>
  <c r="E5" i="2"/>
  <c r="E12" i="2"/>
  <c r="E2" i="2"/>
  <c r="E16" i="2"/>
  <c r="J36" i="9" l="1"/>
  <c r="H57" i="9"/>
  <c r="D46" i="5"/>
  <c r="C16" i="2"/>
  <c r="C15" i="2"/>
  <c r="C14" i="2"/>
  <c r="C13" i="2"/>
  <c r="C11" i="2"/>
  <c r="C10" i="2"/>
  <c r="C9" i="2"/>
  <c r="C8" i="2"/>
  <c r="C5" i="2"/>
  <c r="C3" i="2"/>
  <c r="C2" i="2"/>
  <c r="M2" i="2"/>
  <c r="M15" i="2"/>
  <c r="M5" i="2"/>
  <c r="M14" i="2"/>
  <c r="M12" i="2"/>
  <c r="C19" i="2" l="1"/>
  <c r="F205" i="1"/>
  <c r="F257" i="1"/>
  <c r="F378" i="1"/>
  <c r="F379" i="1"/>
  <c r="F423" i="1"/>
  <c r="F98" i="1"/>
  <c r="F123" i="1"/>
  <c r="F124" i="1"/>
  <c r="F162" i="1"/>
  <c r="F211" i="1"/>
  <c r="F10" i="1"/>
  <c r="F11" i="1"/>
  <c r="F14" i="1"/>
  <c r="F19" i="1"/>
  <c r="F20" i="1"/>
  <c r="F300" i="1"/>
  <c r="F421" i="1"/>
  <c r="F422" i="1"/>
  <c r="F443" i="1"/>
  <c r="F444" i="1"/>
  <c r="F122" i="1"/>
  <c r="F140" i="1"/>
  <c r="F337" i="1"/>
  <c r="F380" i="1"/>
  <c r="F17" i="1"/>
  <c r="F21" i="1"/>
  <c r="F22" i="1"/>
  <c r="F23" i="1"/>
  <c r="F24" i="1"/>
  <c r="F163" i="1"/>
  <c r="F164" i="1"/>
  <c r="F165" i="1"/>
  <c r="F212" i="1"/>
  <c r="F259" i="1"/>
  <c r="F260" i="1"/>
  <c r="F261" i="1"/>
  <c r="F301" i="1"/>
  <c r="F302" i="1"/>
  <c r="F338" i="1"/>
  <c r="F529" i="1"/>
  <c r="F530" i="1"/>
  <c r="F41" i="1"/>
  <c r="F42" i="1"/>
  <c r="F69" i="1"/>
  <c r="F127" i="1"/>
  <c r="F128" i="1"/>
  <c r="F167" i="1"/>
  <c r="F168" i="1"/>
  <c r="F483" i="1"/>
  <c r="F527" i="1"/>
  <c r="F528" i="1"/>
  <c r="F559" i="1"/>
  <c r="F560" i="1"/>
  <c r="F585" i="1"/>
  <c r="F70" i="1"/>
  <c r="F169" i="1"/>
  <c r="F30" i="1"/>
  <c r="F31" i="1"/>
  <c r="F34" i="1"/>
  <c r="F35" i="1"/>
  <c r="F159" i="1"/>
  <c r="F586" i="1"/>
  <c r="F4" i="1"/>
  <c r="F5" i="1"/>
  <c r="F12" i="1"/>
  <c r="F170" i="1"/>
  <c r="F171" i="1"/>
  <c r="F172" i="1"/>
  <c r="F32" i="1"/>
  <c r="F33" i="1"/>
  <c r="F36" i="1"/>
  <c r="F95" i="1"/>
  <c r="F96" i="1"/>
  <c r="F97" i="1"/>
  <c r="F206" i="1"/>
  <c r="F207" i="1"/>
  <c r="F208" i="1"/>
  <c r="F209" i="1"/>
  <c r="F339" i="1"/>
  <c r="F340" i="1"/>
  <c r="F341" i="1"/>
  <c r="F531" i="1"/>
  <c r="F587" i="1"/>
  <c r="F37" i="1"/>
  <c r="F588" i="1"/>
  <c r="F589" i="1"/>
  <c r="F590" i="1"/>
  <c r="F71" i="1"/>
  <c r="F72" i="1"/>
  <c r="F99" i="1"/>
  <c r="F100" i="1"/>
  <c r="F101" i="1"/>
  <c r="F102" i="1"/>
  <c r="F25" i="1"/>
  <c r="F51" i="1"/>
  <c r="F52" i="1"/>
  <c r="F65" i="1"/>
  <c r="F478" i="1"/>
  <c r="F525" i="1"/>
  <c r="F526" i="1"/>
  <c r="F555" i="1"/>
  <c r="F556" i="1"/>
  <c r="F557" i="1"/>
  <c r="F558" i="1"/>
  <c r="F582" i="1"/>
  <c r="F583" i="1"/>
  <c r="F584" i="1"/>
  <c r="F90" i="1"/>
  <c r="F93" i="1"/>
  <c r="F141" i="1"/>
  <c r="F142" i="1"/>
  <c r="F160" i="1"/>
  <c r="F161" i="1"/>
  <c r="F342" i="1"/>
  <c r="F343" i="1"/>
  <c r="F449" i="1"/>
  <c r="F450" i="1"/>
  <c r="F451" i="1"/>
  <c r="F38" i="1"/>
  <c r="F143" i="1"/>
  <c r="F144" i="1"/>
  <c r="H3" i="4"/>
  <c r="H4" i="4" s="1"/>
  <c r="H5" i="4" s="1"/>
  <c r="H6" i="4" s="1"/>
  <c r="H7" i="4" s="1"/>
  <c r="H8" i="4" s="1"/>
  <c r="H9" i="4" s="1"/>
  <c r="H10" i="4" s="1"/>
  <c r="H11" i="4" s="1"/>
  <c r="H12" i="4" s="1"/>
  <c r="H13" i="4" s="1"/>
  <c r="H14" i="4" s="1"/>
  <c r="H15" i="4" s="1"/>
  <c r="H16" i="4" s="1"/>
  <c r="H17" i="4" s="1"/>
  <c r="H18" i="4" s="1"/>
  <c r="H19" i="4" s="1"/>
  <c r="H20" i="4" s="1"/>
  <c r="H21" i="4" s="1"/>
  <c r="H22" i="4" s="1"/>
  <c r="H23" i="4" s="1"/>
  <c r="H24" i="4" s="1"/>
  <c r="H25" i="4" s="1"/>
  <c r="H26" i="4" s="1"/>
  <c r="H27" i="4" s="1"/>
  <c r="D16" i="2"/>
  <c r="G19" i="2"/>
  <c r="D13" i="2"/>
  <c r="D11" i="2"/>
  <c r="D12" i="2"/>
  <c r="D5" i="2"/>
  <c r="D15" i="2"/>
  <c r="D14" i="2"/>
  <c r="D2" i="2"/>
  <c r="E19" i="2"/>
  <c r="I19" i="2" l="1"/>
  <c r="H5" i="6"/>
  <c r="H6" i="6" s="1"/>
  <c r="H7" i="6" s="1"/>
  <c r="H8" i="6" s="1"/>
  <c r="H9" i="6" s="1"/>
  <c r="H10" i="6" s="1"/>
  <c r="H11" i="6" s="1"/>
  <c r="H12" i="6" s="1"/>
  <c r="H13" i="6" s="1"/>
  <c r="H14" i="6" s="1"/>
  <c r="H15" i="6" s="1"/>
  <c r="H16" i="6" s="1"/>
  <c r="H17" i="6" s="1"/>
  <c r="H18" i="6" s="1"/>
  <c r="H19" i="6" s="1"/>
  <c r="H20" i="6" s="1"/>
  <c r="H21" i="6" s="1"/>
  <c r="H22" i="6" s="1"/>
  <c r="H23" i="6" s="1"/>
  <c r="H24" i="6" s="1"/>
  <c r="H25" i="6" s="1"/>
  <c r="H26" i="6" s="1"/>
  <c r="H27" i="6" s="1"/>
  <c r="H28" i="6" s="1"/>
  <c r="H29" i="6" s="1"/>
  <c r="H30" i="6" s="1"/>
  <c r="H31" i="6" s="1"/>
  <c r="H32" i="6" s="1"/>
  <c r="H33" i="6" s="1"/>
  <c r="H34" i="6" s="1"/>
  <c r="H35" i="6" s="1"/>
  <c r="H36" i="6" s="1"/>
  <c r="H37" i="6" s="1"/>
  <c r="H38" i="6" s="1"/>
  <c r="H39" i="6" s="1"/>
  <c r="H40" i="6" s="1"/>
  <c r="H41" i="6" s="1"/>
  <c r="H42" i="6" s="1"/>
  <c r="H43" i="6" s="1"/>
  <c r="H44" i="6" s="1"/>
  <c r="H45" i="6" s="1"/>
  <c r="H46" i="6" s="1"/>
  <c r="H47" i="6" s="1"/>
  <c r="H48" i="6" s="1"/>
  <c r="H49" i="6" s="1"/>
  <c r="H50" i="6" s="1"/>
  <c r="H51" i="6" s="1"/>
  <c r="H52" i="6" s="1"/>
  <c r="H53" i="6" s="1"/>
  <c r="H54" i="6" s="1"/>
  <c r="H55" i="6" s="1"/>
  <c r="H56" i="6" s="1"/>
  <c r="H57" i="6" s="1"/>
  <c r="H58" i="6" s="1"/>
  <c r="H59" i="6" s="1"/>
  <c r="H60" i="6" s="1"/>
  <c r="H61" i="6" s="1"/>
  <c r="H62" i="6" s="1"/>
  <c r="I59" i="9" l="1"/>
  <c r="H59" i="9"/>
  <c r="I3" i="9"/>
  <c r="I4" i="9" s="1"/>
  <c r="I5" i="9" s="1"/>
  <c r="I6" i="9" s="1"/>
  <c r="I7" i="9" s="1"/>
  <c r="I8" i="9" s="1"/>
  <c r="H3" i="9"/>
  <c r="H4" i="9" s="1"/>
  <c r="H5" i="9" s="1"/>
  <c r="H6" i="9" s="1"/>
  <c r="H7" i="9" s="1"/>
  <c r="H8" i="9" s="1"/>
  <c r="I10" i="9"/>
  <c r="H10" i="9"/>
  <c r="E2" i="9"/>
  <c r="F2" i="9"/>
  <c r="G2" i="9"/>
  <c r="D2" i="9"/>
  <c r="I58" i="9"/>
  <c r="H58" i="9"/>
  <c r="I2" i="9" l="1"/>
  <c r="H2" i="9"/>
  <c r="H56" i="9"/>
  <c r="I56" i="9" l="1"/>
  <c r="J33" i="9"/>
  <c r="G853" i="26"/>
  <c r="G600" i="26"/>
  <c r="F600" i="26" s="1"/>
  <c r="F437" i="26"/>
  <c r="F418" i="26"/>
  <c r="F417" i="26"/>
  <c r="G77" i="26"/>
  <c r="F2" i="1"/>
  <c r="F3" i="1"/>
  <c r="F7" i="1"/>
  <c r="F8" i="1"/>
  <c r="F15" i="1"/>
  <c r="F18" i="1"/>
  <c r="F66" i="1"/>
  <c r="F154" i="1"/>
  <c r="F155" i="1"/>
  <c r="F156" i="1"/>
  <c r="F157" i="1"/>
  <c r="F158" i="1"/>
  <c r="F202" i="1"/>
  <c r="F203" i="1"/>
  <c r="F204" i="1"/>
  <c r="F258" i="1"/>
  <c r="F299" i="1"/>
  <c r="F333" i="1"/>
  <c r="F334" i="1"/>
  <c r="F91" i="1"/>
  <c r="F92" i="1"/>
  <c r="F119" i="1"/>
  <c r="F120" i="1"/>
  <c r="F121" i="1"/>
  <c r="F335" i="1"/>
  <c r="F336" i="1"/>
  <c r="F382" i="1"/>
  <c r="F383" i="1"/>
  <c r="F384" i="1"/>
  <c r="F385" i="1"/>
  <c r="F446" i="1"/>
  <c r="F424" i="1"/>
  <c r="F445" i="1"/>
  <c r="F447" i="1"/>
  <c r="F448" i="1"/>
  <c r="F480" i="1"/>
  <c r="F481" i="1"/>
  <c r="F482" i="1"/>
  <c r="F13" i="1"/>
  <c r="F16" i="1"/>
  <c r="F68" i="1"/>
  <c r="F94" i="1"/>
  <c r="F210" i="1"/>
  <c r="F452" i="1"/>
  <c r="F484" i="1"/>
  <c r="F485" i="1"/>
  <c r="F39" i="1"/>
  <c r="F40" i="1"/>
  <c r="F125" i="1"/>
  <c r="F126" i="1"/>
  <c r="F145" i="1"/>
  <c r="F89" i="1"/>
  <c r="F7" i="7"/>
  <c r="J57" i="9" l="1"/>
  <c r="F42" i="9"/>
  <c r="G42" i="9"/>
  <c r="I25" i="2"/>
  <c r="H687" i="6" l="1"/>
  <c r="H688" i="6" s="1"/>
  <c r="H689" i="6" s="1"/>
  <c r="H690" i="6" s="1"/>
  <c r="H691" i="6" s="1"/>
  <c r="H692" i="6" s="1"/>
  <c r="H693" i="6" s="1"/>
  <c r="H694" i="6" s="1"/>
  <c r="H695" i="6" s="1"/>
  <c r="H696" i="6" s="1"/>
  <c r="H697" i="6" s="1"/>
  <c r="H698" i="6" s="1"/>
  <c r="H699" i="6" s="1"/>
  <c r="H700" i="6" s="1"/>
  <c r="H701" i="6" s="1"/>
  <c r="H702" i="6" s="1"/>
  <c r="H703" i="6" s="1"/>
  <c r="H704" i="6" s="1"/>
  <c r="H705" i="6" s="1"/>
  <c r="H706" i="6" s="1"/>
  <c r="H707" i="6" s="1"/>
  <c r="H708" i="6" s="1"/>
  <c r="H709" i="6" s="1"/>
  <c r="H710" i="6" s="1"/>
  <c r="H711" i="6" s="1"/>
  <c r="H712" i="6" s="1"/>
  <c r="H713" i="6" s="1"/>
  <c r="H714" i="6" s="1"/>
  <c r="H715" i="6" s="1"/>
  <c r="H716" i="6" s="1"/>
  <c r="H717" i="6" s="1"/>
  <c r="H718" i="6" s="1"/>
  <c r="H719" i="6" s="1"/>
  <c r="H720" i="6" s="1"/>
  <c r="H721" i="6" s="1"/>
  <c r="H722" i="6" s="1"/>
  <c r="H723" i="6" s="1"/>
  <c r="H724" i="6" s="1"/>
  <c r="H725" i="6" s="1"/>
  <c r="H726" i="6" s="1"/>
  <c r="H727" i="6" s="1"/>
  <c r="H728" i="6" s="1"/>
  <c r="H729" i="6" s="1"/>
  <c r="H730" i="6" s="1"/>
  <c r="H731" i="6" s="1"/>
  <c r="H732" i="6" s="1"/>
  <c r="H733" i="6" s="1"/>
  <c r="H734" i="6" s="1"/>
  <c r="H735" i="6" s="1"/>
  <c r="H736" i="6" s="1"/>
  <c r="H737" i="6" s="1"/>
  <c r="H738" i="6" s="1"/>
  <c r="H739" i="6" s="1"/>
  <c r="H740" i="6" s="1"/>
  <c r="H741" i="6" s="1"/>
  <c r="H742" i="6" s="1"/>
  <c r="H743" i="6" s="1"/>
  <c r="H744" i="6" s="1"/>
  <c r="H745" i="6" s="1"/>
  <c r="H746" i="6" s="1"/>
  <c r="H747" i="6" s="1"/>
  <c r="H748" i="6" s="1"/>
  <c r="H749" i="6" s="1"/>
  <c r="H750" i="6" s="1"/>
  <c r="H751" i="6" s="1"/>
  <c r="H752" i="6" s="1"/>
  <c r="H753" i="6" s="1"/>
  <c r="H754" i="6" s="1"/>
  <c r="H755" i="6" s="1"/>
  <c r="H756" i="6" s="1"/>
  <c r="H757" i="6" s="1"/>
  <c r="I12" i="2" l="1"/>
  <c r="H611" i="6"/>
  <c r="H612" i="6" s="1"/>
  <c r="H613" i="6" s="1"/>
  <c r="H614" i="6" s="1"/>
  <c r="H615" i="6" s="1"/>
  <c r="H616" i="6" s="1"/>
  <c r="H617" i="6" s="1"/>
  <c r="H618" i="6" s="1"/>
  <c r="H619" i="6" s="1"/>
  <c r="H620" i="6" s="1"/>
  <c r="H621" i="6" s="1"/>
  <c r="H622" i="6" s="1"/>
  <c r="H623" i="6" s="1"/>
  <c r="H624" i="6" s="1"/>
  <c r="H625" i="6" s="1"/>
  <c r="H626" i="6" s="1"/>
  <c r="H627" i="6" s="1"/>
  <c r="H628" i="6" s="1"/>
  <c r="H629" i="6" s="1"/>
  <c r="H630" i="6" s="1"/>
  <c r="H631" i="6" s="1"/>
  <c r="H632" i="6" s="1"/>
  <c r="H633" i="6" s="1"/>
  <c r="H634" i="6" s="1"/>
  <c r="H635" i="6" s="1"/>
  <c r="H636" i="6" s="1"/>
  <c r="H637" i="6" s="1"/>
  <c r="H638" i="6" s="1"/>
  <c r="H639" i="6" s="1"/>
  <c r="H640" i="6" s="1"/>
  <c r="H641" i="6" s="1"/>
  <c r="H642" i="6" s="1"/>
  <c r="H643" i="6" s="1"/>
  <c r="H644" i="6" s="1"/>
  <c r="H645" i="6" s="1"/>
  <c r="H646" i="6" s="1"/>
  <c r="H647" i="6" s="1"/>
  <c r="H648" i="6" s="1"/>
  <c r="H649" i="6" s="1"/>
  <c r="H650" i="6" s="1"/>
  <c r="H651" i="6" s="1"/>
  <c r="H652" i="6" s="1"/>
  <c r="H653" i="6" s="1"/>
  <c r="H654" i="6" s="1"/>
  <c r="H655" i="6" s="1"/>
  <c r="H656" i="6" s="1"/>
  <c r="H657" i="6" s="1"/>
  <c r="H658" i="6" s="1"/>
  <c r="H659" i="6" s="1"/>
  <c r="H660" i="6" s="1"/>
  <c r="H661" i="6" s="1"/>
  <c r="H662" i="6" s="1"/>
  <c r="H663" i="6" s="1"/>
  <c r="H664" i="6" s="1"/>
  <c r="H665" i="6" s="1"/>
  <c r="H666" i="6" s="1"/>
  <c r="H667" i="6" s="1"/>
  <c r="H668" i="6" s="1"/>
  <c r="H669" i="6" s="1"/>
  <c r="H670" i="6" s="1"/>
  <c r="H671" i="6" s="1"/>
  <c r="H672" i="6" s="1"/>
  <c r="H673" i="6" s="1"/>
  <c r="H674" i="6" s="1"/>
  <c r="H675" i="6" s="1"/>
  <c r="H676" i="6" s="1"/>
  <c r="H677" i="6" s="1"/>
  <c r="H678" i="6" s="1"/>
  <c r="H679" i="6" s="1"/>
  <c r="H680" i="6" s="1"/>
  <c r="H681" i="6" s="1"/>
  <c r="E682" i="6"/>
  <c r="F682" i="6"/>
  <c r="H682" i="6" l="1"/>
  <c r="H775" i="6" l="1"/>
  <c r="H776" i="6" s="1"/>
  <c r="H777" i="6" s="1"/>
  <c r="H778" i="6" s="1"/>
  <c r="H779" i="6" s="1"/>
  <c r="H780" i="6" s="1"/>
  <c r="H781" i="6" s="1"/>
  <c r="H782" i="6" s="1"/>
  <c r="H783" i="6" s="1"/>
  <c r="H784" i="6" s="1"/>
  <c r="H785" i="6" s="1"/>
  <c r="H786" i="6" s="1"/>
  <c r="H787" i="6" s="1"/>
  <c r="H788" i="6" s="1"/>
  <c r="H789" i="6" s="1"/>
  <c r="H790" i="6" s="1"/>
  <c r="H791" i="6" s="1"/>
  <c r="H792" i="6" s="1"/>
  <c r="H793" i="6" s="1"/>
  <c r="H794" i="6" s="1"/>
  <c r="H795" i="6" s="1"/>
  <c r="H796" i="6" s="1"/>
  <c r="H606" i="6" l="1"/>
  <c r="H515" i="6"/>
  <c r="H516" i="6" s="1"/>
  <c r="H517" i="6" s="1"/>
  <c r="H518" i="6" s="1"/>
  <c r="H519" i="6" s="1"/>
  <c r="H520" i="6" s="1"/>
  <c r="H521" i="6" s="1"/>
  <c r="H522" i="6" s="1"/>
  <c r="H523" i="6" s="1"/>
  <c r="H524" i="6" s="1"/>
  <c r="H525" i="6" s="1"/>
  <c r="H526" i="6" s="1"/>
  <c r="H527" i="6" s="1"/>
  <c r="H528" i="6" s="1"/>
  <c r="H529" i="6" s="1"/>
  <c r="H530" i="6" s="1"/>
  <c r="H531" i="6" s="1"/>
  <c r="H532" i="6" s="1"/>
  <c r="H533" i="6" s="1"/>
  <c r="H534" i="6" s="1"/>
  <c r="H535" i="6" s="1"/>
  <c r="H536" i="6" s="1"/>
  <c r="H537" i="6" s="1"/>
  <c r="H538" i="6" s="1"/>
  <c r="H539" i="6" s="1"/>
  <c r="H540" i="6" s="1"/>
  <c r="H541" i="6" s="1"/>
  <c r="H542" i="6" s="1"/>
  <c r="H543" i="6" s="1"/>
  <c r="H544" i="6" s="1"/>
  <c r="H545" i="6" s="1"/>
  <c r="H546" i="6" s="1"/>
  <c r="H547" i="6" s="1"/>
  <c r="H548" i="6" s="1"/>
  <c r="H125" i="6" l="1"/>
  <c r="H126" i="6" s="1"/>
  <c r="H127" i="6" s="1"/>
  <c r="H128" i="6" s="1"/>
  <c r="H129" i="6" s="1"/>
  <c r="H130" i="6" s="1"/>
  <c r="H131" i="6" s="1"/>
  <c r="H132" i="6" s="1"/>
  <c r="H133" i="6" s="1"/>
  <c r="H134" i="6" s="1"/>
  <c r="H135" i="6" s="1"/>
  <c r="H136" i="6" s="1"/>
  <c r="H137" i="6" s="1"/>
  <c r="H138" i="6" s="1"/>
  <c r="H139" i="6" s="1"/>
  <c r="H140" i="6" s="1"/>
  <c r="H141" i="6" s="1"/>
  <c r="H142" i="6" s="1"/>
  <c r="H143" i="6" s="1"/>
  <c r="H144" i="6" s="1"/>
  <c r="H145" i="6" s="1"/>
  <c r="H146" i="6" s="1"/>
  <c r="H147" i="6" s="1"/>
  <c r="H148" i="6" s="1"/>
  <c r="H149" i="6" s="1"/>
  <c r="H150" i="6" s="1"/>
  <c r="H151" i="6" s="1"/>
  <c r="H152" i="6" s="1"/>
  <c r="H153" i="6" s="1"/>
  <c r="H154" i="6" s="1"/>
  <c r="H155" i="6" s="1"/>
  <c r="H156" i="6" s="1"/>
  <c r="H157" i="6" s="1"/>
  <c r="H158" i="6" s="1"/>
  <c r="H159" i="6" s="1"/>
  <c r="H160" i="6" s="1"/>
  <c r="H161" i="6" s="1"/>
  <c r="H162" i="6" s="1"/>
  <c r="H163" i="6" s="1"/>
  <c r="H164" i="6" s="1"/>
  <c r="H165" i="6" s="1"/>
  <c r="H166" i="6" s="1"/>
  <c r="H167" i="6" s="1"/>
  <c r="H168" i="6" s="1"/>
  <c r="H169" i="6" s="1"/>
  <c r="H170" i="6" s="1"/>
  <c r="H171" i="6" s="1"/>
  <c r="H172" i="6" s="1"/>
  <c r="H173" i="6" s="1"/>
  <c r="H174" i="6" s="1"/>
  <c r="H175" i="6" s="1"/>
  <c r="H176" i="6" s="1"/>
  <c r="H177" i="6" s="1"/>
  <c r="H178" i="6" s="1"/>
  <c r="H179" i="6" s="1"/>
  <c r="H180" i="6" s="1"/>
  <c r="H181" i="6" s="1"/>
  <c r="H182" i="6" s="1"/>
  <c r="H183" i="6" s="1"/>
  <c r="H184" i="6" s="1"/>
  <c r="H185" i="6" s="1"/>
  <c r="H186" i="6" s="1"/>
  <c r="H187" i="6" s="1"/>
  <c r="H188" i="6" s="1"/>
  <c r="H189" i="6" s="1"/>
  <c r="H190" i="6" s="1"/>
  <c r="H191" i="6" s="1"/>
  <c r="H192" i="6" s="1"/>
  <c r="H193" i="6" s="1"/>
  <c r="H194" i="6" s="1"/>
  <c r="H195" i="6" s="1"/>
  <c r="H196" i="6" s="1"/>
  <c r="H197" i="6" s="1"/>
  <c r="H198" i="6" s="1"/>
  <c r="H199" i="6" s="1"/>
  <c r="H200" i="6" s="1"/>
  <c r="H201" i="6" s="1"/>
  <c r="H202" i="6" s="1"/>
  <c r="H203" i="6" s="1"/>
  <c r="H204" i="6" s="1"/>
  <c r="H205" i="6" s="1"/>
  <c r="H206" i="6" s="1"/>
  <c r="H207" i="6" s="1"/>
  <c r="H208" i="6" s="1"/>
  <c r="H209" i="6" s="1"/>
  <c r="H210" i="6" s="1"/>
  <c r="H211" i="6" s="1"/>
  <c r="H212" i="6" s="1"/>
  <c r="H213" i="6" s="1"/>
  <c r="H214" i="6" s="1"/>
  <c r="H215" i="6" s="1"/>
  <c r="H216" i="6" s="1"/>
  <c r="H217" i="6" s="1"/>
  <c r="H218" i="6" s="1"/>
  <c r="H219" i="6" s="1"/>
  <c r="C4" i="2" l="1"/>
  <c r="J54" i="9" l="1"/>
  <c r="H510" i="6" l="1"/>
  <c r="H11" i="2" s="1"/>
  <c r="E797" i="6" l="1"/>
  <c r="D4" i="2" l="1"/>
  <c r="M17" i="2"/>
  <c r="F797" i="6" l="1"/>
  <c r="H797" i="6" s="1"/>
  <c r="H12" i="2" s="1"/>
  <c r="J12" i="2" s="1"/>
  <c r="H308" i="6" l="1"/>
  <c r="E49" i="5"/>
  <c r="B16" i="9" l="1"/>
  <c r="B60" i="9" s="1"/>
  <c r="I17" i="9"/>
  <c r="I18" i="9" s="1"/>
  <c r="J32" i="9" l="1"/>
  <c r="H17" i="9"/>
  <c r="H18" i="9" s="1"/>
  <c r="H19" i="9" s="1"/>
  <c r="H20" i="9" s="1"/>
  <c r="H21" i="9" s="1"/>
  <c r="H22" i="9" s="1"/>
  <c r="H23" i="9" s="1"/>
  <c r="H24" i="9" s="1"/>
  <c r="H25" i="9" s="1"/>
  <c r="H26" i="9" s="1"/>
  <c r="H27" i="9" s="1"/>
  <c r="H28" i="9" s="1"/>
  <c r="D16" i="9"/>
  <c r="E16" i="9"/>
  <c r="G16" i="9"/>
  <c r="F16" i="9"/>
  <c r="I19" i="9"/>
  <c r="I20" i="9" s="1"/>
  <c r="I21" i="9" s="1"/>
  <c r="I22" i="9" s="1"/>
  <c r="I23" i="9" s="1"/>
  <c r="I24" i="9" s="1"/>
  <c r="I25" i="9" s="1"/>
  <c r="I26" i="9" s="1"/>
  <c r="I27" i="9" s="1"/>
  <c r="I28" i="9" s="1"/>
  <c r="H16" i="9" l="1"/>
  <c r="I16" i="9"/>
  <c r="F768" i="6"/>
  <c r="E768" i="6"/>
  <c r="H768" i="6" l="1"/>
  <c r="H16" i="2" s="1"/>
  <c r="H9" i="2"/>
  <c r="H220" i="6" l="1"/>
  <c r="H5" i="2" s="1"/>
  <c r="F63" i="6"/>
  <c r="E63" i="6"/>
  <c r="H63" i="6" l="1"/>
  <c r="J15" i="9"/>
  <c r="H15" i="2" l="1"/>
  <c r="I30" i="9" l="1"/>
  <c r="E29" i="9"/>
  <c r="D29" i="9"/>
  <c r="H30" i="9" l="1"/>
  <c r="H31" i="9" s="1"/>
  <c r="H32" i="9" s="1"/>
  <c r="H33" i="9" s="1"/>
  <c r="H34" i="9" s="1"/>
  <c r="H35" i="9" s="1"/>
  <c r="H36" i="9" s="1"/>
  <c r="H37" i="9" s="1"/>
  <c r="H38" i="9" s="1"/>
  <c r="H39" i="9" s="1"/>
  <c r="H40" i="9" s="1"/>
  <c r="H41" i="9" s="1"/>
  <c r="G29" i="9"/>
  <c r="I31" i="9"/>
  <c r="I32" i="9" s="1"/>
  <c r="I33" i="9" s="1"/>
  <c r="I34" i="9" s="1"/>
  <c r="I35" i="9" s="1"/>
  <c r="I36" i="9" s="1"/>
  <c r="I37" i="9" s="1"/>
  <c r="I38" i="9" s="1"/>
  <c r="I39" i="9" s="1"/>
  <c r="I40" i="9" s="1"/>
  <c r="I41" i="9" s="1"/>
  <c r="F29" i="9"/>
  <c r="H29" i="9" l="1"/>
  <c r="I29" i="9"/>
  <c r="E113" i="6"/>
  <c r="F113" i="6"/>
  <c r="H113" i="6" l="1"/>
  <c r="H3" i="2" s="1"/>
  <c r="H13" i="2" l="1"/>
  <c r="H55" i="9" l="1"/>
  <c r="C60" i="9"/>
  <c r="E42" i="9"/>
  <c r="D42" i="9"/>
  <c r="E9" i="9"/>
  <c r="D9" i="9"/>
  <c r="D60" i="9" s="1"/>
  <c r="F19" i="7"/>
  <c r="F18" i="7"/>
  <c r="F17" i="7"/>
  <c r="F16" i="7"/>
  <c r="F15" i="7"/>
  <c r="F14" i="7"/>
  <c r="F11" i="7"/>
  <c r="F10" i="7"/>
  <c r="F9" i="7"/>
  <c r="F8" i="7"/>
  <c r="F549" i="6"/>
  <c r="E549" i="6"/>
  <c r="F119" i="6"/>
  <c r="E119" i="6"/>
  <c r="H2" i="2"/>
  <c r="F20" i="2"/>
  <c r="D20" i="2"/>
  <c r="D29" i="2" s="1"/>
  <c r="F17" i="2"/>
  <c r="I13" i="2"/>
  <c r="I7" i="2"/>
  <c r="J7" i="2" s="1"/>
  <c r="I6" i="2"/>
  <c r="J6" i="2" s="1"/>
  <c r="E60" i="9" l="1"/>
  <c r="H380" i="6"/>
  <c r="H10" i="2" s="1"/>
  <c r="F20" i="7"/>
  <c r="F22" i="7" s="1"/>
  <c r="H11" i="9"/>
  <c r="H12" i="9" s="1"/>
  <c r="H13" i="9" s="1"/>
  <c r="H14" i="9" s="1"/>
  <c r="H15" i="9" s="1"/>
  <c r="F9" i="9"/>
  <c r="F60" i="9" s="1"/>
  <c r="G9" i="9"/>
  <c r="G60" i="9" s="1"/>
  <c r="I11" i="9"/>
  <c r="I12" i="9" s="1"/>
  <c r="I13" i="9" s="1"/>
  <c r="I14" i="9" s="1"/>
  <c r="I15" i="9" s="1"/>
  <c r="G17" i="2"/>
  <c r="G20" i="2"/>
  <c r="D17" i="2"/>
  <c r="E20" i="2"/>
  <c r="E17" i="2"/>
  <c r="I9" i="2"/>
  <c r="I16" i="2"/>
  <c r="J16" i="2" s="1"/>
  <c r="I10" i="2"/>
  <c r="I14" i="2"/>
  <c r="I3" i="2"/>
  <c r="I8" i="2"/>
  <c r="I11" i="2"/>
  <c r="J11" i="2" s="1"/>
  <c r="I15" i="2"/>
  <c r="J15" i="2" s="1"/>
  <c r="I20" i="2"/>
  <c r="I4" i="2"/>
  <c r="I5" i="2"/>
  <c r="I55" i="9"/>
  <c r="C20" i="2"/>
  <c r="H549" i="6"/>
  <c r="H14" i="2" s="1"/>
  <c r="H119" i="6"/>
  <c r="H4" i="2" s="1"/>
  <c r="J13" i="2"/>
  <c r="C17" i="2"/>
  <c r="I2" i="2"/>
  <c r="I9" i="9" l="1"/>
  <c r="H9" i="9"/>
  <c r="J10" i="2"/>
  <c r="J3" i="2"/>
  <c r="J14" i="2"/>
  <c r="C29" i="2"/>
  <c r="F24" i="7"/>
  <c r="J25" i="2"/>
  <c r="I42" i="9"/>
  <c r="E23" i="2"/>
  <c r="E29" i="2" s="1"/>
  <c r="J4" i="2"/>
  <c r="J5" i="2"/>
  <c r="I17" i="2"/>
  <c r="J9" i="2"/>
  <c r="J2" i="2"/>
  <c r="I29" i="2" l="1"/>
  <c r="H62" i="9" s="1"/>
  <c r="I60" i="9"/>
  <c r="D60" i="5"/>
  <c r="D75" i="5" s="1"/>
  <c r="D78" i="5" l="1"/>
  <c r="H19" i="2"/>
  <c r="J19" i="2" l="1"/>
  <c r="H20" i="2"/>
  <c r="J20" i="2" l="1"/>
  <c r="H447" i="6"/>
  <c r="H8" i="2" s="1"/>
  <c r="J8" i="2" s="1"/>
  <c r="H17" i="2" l="1"/>
  <c r="J17" i="2" s="1"/>
  <c r="H29" i="2" l="1"/>
  <c r="J29" i="2" s="1"/>
  <c r="H42" i="9" l="1"/>
  <c r="H60" i="9" s="1"/>
  <c r="B63" i="9"/>
  <c r="H63" i="9" l="1"/>
  <c r="F166" i="1"/>
  <c r="AF499" i="1" l="1"/>
</calcChain>
</file>

<file path=xl/comments1.xml><?xml version="1.0" encoding="utf-8"?>
<comments xmlns="http://schemas.openxmlformats.org/spreadsheetml/2006/main">
  <authors>
    <author>tc={A12D1BC1-2A0A-4E82-995E-AE42C351895A}</author>
    <author>tc={B9DA9024-4CA0-46CF-BCB7-17B9FFFC34E0}</author>
    <author>tc={62FAAB4B-6EAF-4972-9E02-C37D118F3FE1}</author>
    <author>tc={CD553CA5-AD13-43FC-A1F7-EF2DE5EF7A94}</author>
    <author>tc={5991BF77-FCF5-4586-9875-1F89E2825A51}</author>
    <author>tc={D10F2EAC-DC88-4867-AF3C-128AC3A279F6}</author>
    <author>tc={E4BF8878-824E-43F9-ABC1-A73CD708EDCD}</author>
    <author>tc={5E3CEF0F-AC62-41D5-A934-AC03EDB0B8D2}</author>
    <author>tc={A6199460-FC62-44E6-AB78-D712E7363C57}</author>
  </authors>
  <commentList>
    <comment ref="C2" authorId="0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personal balance</t>
        </r>
      </text>
    </comment>
    <comment ref="D2" authorId="1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pivot table „Cash journal“</t>
        </r>
      </text>
    </comment>
    <comment ref="E2" authorId="2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pivot table „data“</t>
        </r>
      </text>
    </comment>
    <comment ref="H2" authorId="3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personal balance</t>
        </r>
      </text>
    </comment>
    <comment ref="I2" authorId="4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formula</t>
        </r>
      </text>
    </comment>
    <comment ref="C19" authorId="5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bank journal</t>
        </r>
      </text>
    </comment>
    <comment ref="I19" authorId="6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bank journal</t>
        </r>
      </text>
    </comment>
    <comment ref="C25" authorId="7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  <comment ref="H25" authorId="8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comments2.xml><?xml version="1.0" encoding="utf-8"?>
<comments xmlns="http://schemas.openxmlformats.org/spreadsheetml/2006/main">
  <authors>
    <author>tc={C1DF0F66-A833-40DC-8B4A-5A54471ED649}</author>
    <author>tc={F88D673A-DD35-4DCB-976B-8A96F322437E}</author>
  </authors>
  <commentList>
    <comment ref="C6" authorId="0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Adjust that according to your country</t>
        </r>
      </text>
    </comment>
    <comment ref="F23" authorId="1" shapeId="0">
      <text>
        <r>
          <rPr>
            <sz val="11"/>
            <color theme="1"/>
            <rFont val="Aptos Narrow"/>
            <family val="2"/>
            <charset val="238"/>
            <scheme val="minor"/>
          </rPr>
          <t>[Komentář ve vlákně]
Vaše verze aplikace Excel vám umožňuje číst tento komentář ve vlákně, ale jakékoli jeho úpravy se odeberou, pokud se soubor otevře v novější verzi aplikace Excel. Další informace: https://go.microsoft.com/fwlink/?linkid=870924
Komentář:
    Link to the cash journal</t>
        </r>
      </text>
    </comment>
  </commentList>
</comments>
</file>

<file path=xl/sharedStrings.xml><?xml version="1.0" encoding="utf-8"?>
<sst xmlns="http://schemas.openxmlformats.org/spreadsheetml/2006/main" count="25525" uniqueCount="3238">
  <si>
    <t>Date</t>
  </si>
  <si>
    <t>Details</t>
  </si>
  <si>
    <t>Type of expenses</t>
  </si>
  <si>
    <t xml:space="preserve">Department </t>
  </si>
  <si>
    <t>Spent in $</t>
  </si>
  <si>
    <t>Exchange Rate $</t>
  </si>
  <si>
    <t>Receipt</t>
  </si>
  <si>
    <t>Project</t>
  </si>
  <si>
    <t>Donor</t>
  </si>
  <si>
    <t>Country</t>
  </si>
  <si>
    <t>Name</t>
  </si>
  <si>
    <t>Department</t>
  </si>
  <si>
    <t>Received</t>
  </si>
  <si>
    <t>Spent</t>
  </si>
  <si>
    <t>Accounting Balance</t>
  </si>
  <si>
    <t>Cross-checking</t>
  </si>
  <si>
    <t>Transfer In</t>
  </si>
  <si>
    <t>Transfer  out</t>
  </si>
  <si>
    <t>TOTAL STAFF</t>
  </si>
  <si>
    <t>TOTAL Banks</t>
  </si>
  <si>
    <t>control of internal transfers</t>
  </si>
  <si>
    <t xml:space="preserve">Total expenses </t>
  </si>
  <si>
    <t>Cash Box</t>
  </si>
  <si>
    <t>MOVEMENTS</t>
  </si>
  <si>
    <t>EXPENSES</t>
  </si>
  <si>
    <t>ACCOUNTING BALANCE</t>
  </si>
  <si>
    <t>CROSS-CHECKING</t>
  </si>
  <si>
    <t>OVERALL BALANCE</t>
  </si>
  <si>
    <t>BANK 1</t>
  </si>
  <si>
    <t xml:space="preserve">Spent </t>
  </si>
  <si>
    <t>Balance</t>
  </si>
  <si>
    <t>GRANTS RECEIVED</t>
  </si>
  <si>
    <t>EAGLE NETWORK</t>
  </si>
  <si>
    <t xml:space="preserve">PROJECT: </t>
  </si>
  <si>
    <t>MONTH</t>
  </si>
  <si>
    <t xml:space="preserve">Bank reconciliation statments </t>
  </si>
  <si>
    <t>ACCOUNTING</t>
  </si>
  <si>
    <t xml:space="preserve">n° </t>
  </si>
  <si>
    <t>Description</t>
  </si>
  <si>
    <t>Débit</t>
  </si>
  <si>
    <t>Crédit</t>
  </si>
  <si>
    <t>Bank balance</t>
  </si>
  <si>
    <t>Account Balance</t>
  </si>
  <si>
    <t>PROJECT COORDINATOR</t>
  </si>
  <si>
    <t>BANK</t>
  </si>
  <si>
    <t>No</t>
  </si>
  <si>
    <t>Amount</t>
  </si>
  <si>
    <t>Add:</t>
  </si>
  <si>
    <t>Unpresented cheques</t>
  </si>
  <si>
    <t>Direct Debits (Bank Charges)</t>
  </si>
  <si>
    <t>Balance as per the bank statement</t>
  </si>
  <si>
    <t>Difference</t>
  </si>
  <si>
    <t>Reason for the Difference.</t>
  </si>
  <si>
    <t>currency</t>
  </si>
  <si>
    <t>Balance as per the accounting</t>
  </si>
  <si>
    <t>Signature accountant</t>
  </si>
  <si>
    <t>signature coordinator</t>
  </si>
  <si>
    <t xml:space="preserve"> Reconciliation Statement </t>
  </si>
  <si>
    <t>Paper Notes</t>
  </si>
  <si>
    <t>x</t>
  </si>
  <si>
    <t>Coins</t>
  </si>
  <si>
    <t>cash balance</t>
  </si>
  <si>
    <t>account balance</t>
  </si>
  <si>
    <t>difference</t>
  </si>
  <si>
    <t>value</t>
  </si>
  <si>
    <t>number</t>
  </si>
  <si>
    <t>Accountant:</t>
  </si>
  <si>
    <t>Coordinator:</t>
  </si>
  <si>
    <t>Project:</t>
  </si>
  <si>
    <t>Month:</t>
  </si>
  <si>
    <t>Year:</t>
  </si>
  <si>
    <t>Comments</t>
  </si>
  <si>
    <t>comments</t>
  </si>
  <si>
    <t>Balance  in USD</t>
  </si>
  <si>
    <t>exchange rate</t>
  </si>
  <si>
    <t>Opening Balance local currency</t>
  </si>
  <si>
    <t>Opening Balance USD</t>
  </si>
  <si>
    <t>Donated local currency</t>
  </si>
  <si>
    <t>Donated USD</t>
  </si>
  <si>
    <t>Used in local currency</t>
  </si>
  <si>
    <t>Used in USD</t>
  </si>
  <si>
    <t>Balance in local currency</t>
  </si>
  <si>
    <t>January</t>
  </si>
  <si>
    <t>February</t>
  </si>
  <si>
    <t xml:space="preserve">March </t>
  </si>
  <si>
    <t>April</t>
  </si>
  <si>
    <t xml:space="preserve">May </t>
  </si>
  <si>
    <t>June</t>
  </si>
  <si>
    <t xml:space="preserve">July </t>
  </si>
  <si>
    <t xml:space="preserve">August </t>
  </si>
  <si>
    <t xml:space="preserve">September </t>
  </si>
  <si>
    <t xml:space="preserve">October </t>
  </si>
  <si>
    <t xml:space="preserve">November </t>
  </si>
  <si>
    <t xml:space="preserve">December </t>
  </si>
  <si>
    <t>Total</t>
  </si>
  <si>
    <t>Balance in financial report</t>
  </si>
  <si>
    <t>Bank name: BCI</t>
  </si>
  <si>
    <t>Account name:  01100-37107202652-34</t>
  </si>
  <si>
    <t>PALF</t>
  </si>
  <si>
    <t>Reglement loyer du mois de Janvier 2025/3654789</t>
  </si>
  <si>
    <t>Reglement Facture Gardiennage Mois de Janvier 2025/36564792</t>
  </si>
  <si>
    <t>Solde honoraire contrat n°79 Dolisie cas BOUTSANA et Consorts/ Maître BANZOUZI Alain</t>
  </si>
  <si>
    <t>Solde honoraire contrat n°67 Sibiti et Consorts/ Maître Helene</t>
  </si>
  <si>
    <t>RAPATRIEME01100 RAO00010730</t>
  </si>
  <si>
    <t>Paiement salaire du mois de Janvier 2025</t>
  </si>
  <si>
    <t>Paiement salaire du mois de Janvier 2025/Loundou Jean Romain</t>
  </si>
  <si>
    <t>Paiement salaire du mois de Janvier 2025/Crepin IBOUILI IBOUILI</t>
  </si>
  <si>
    <t>Paiement salaire du mois de Janvier 2025/Merveille MAHANGA</t>
  </si>
  <si>
    <t>Paiement salaire du mois de Janvier 2025 et congé/PINDI BINGA Donald-Roméo</t>
  </si>
  <si>
    <t>Paiement salaire du mois de Janvier 2025/BOUNGOU Abraham</t>
  </si>
  <si>
    <t>Paiement salaire du mois de Janvier 2025/FOUMBA Roderlin</t>
  </si>
  <si>
    <t>Paiement salaire du mois de Janvier 2025/Evariste LELOUSSI</t>
  </si>
  <si>
    <t>Frais de virement salaire Janvier 2025</t>
  </si>
  <si>
    <t>Reglement honoraire du mois de Janvier 2025/G12</t>
  </si>
  <si>
    <t>Reglement honoraire du mois de Janvier 2025/T73</t>
  </si>
  <si>
    <t>Reglement honoraire du mois de Janvier 2025/P29</t>
  </si>
  <si>
    <t>Reglement honoraire du mois de Janvier 2025/TIT87</t>
  </si>
  <si>
    <t>Legal</t>
  </si>
  <si>
    <t>Office</t>
  </si>
  <si>
    <t>Management</t>
  </si>
  <si>
    <t>Media</t>
  </si>
  <si>
    <t>Investigation</t>
  </si>
  <si>
    <t>Type de depense</t>
  </si>
  <si>
    <t>Lawyer Fees</t>
  </si>
  <si>
    <t>Versement</t>
  </si>
  <si>
    <t>Grant</t>
  </si>
  <si>
    <t>Rent &amp; Utilities</t>
  </si>
  <si>
    <t>Personnel</t>
  </si>
  <si>
    <t>Bank fees</t>
  </si>
  <si>
    <t>BQ-J-R1</t>
  </si>
  <si>
    <t>BQ-J-R2</t>
  </si>
  <si>
    <t>BQ-J-G1</t>
  </si>
  <si>
    <t>BQ-J-R3</t>
  </si>
  <si>
    <t>BQ-J-R4</t>
  </si>
  <si>
    <t>BQ-J-R5</t>
  </si>
  <si>
    <t>BQ-J-R6</t>
  </si>
  <si>
    <t>BQ-J-R7</t>
  </si>
  <si>
    <t>BQ-J-R8</t>
  </si>
  <si>
    <t>BQ-J-R9</t>
  </si>
  <si>
    <t>BQ-J-R10</t>
  </si>
  <si>
    <t>BQ-J-R11</t>
  </si>
  <si>
    <t>BQ-J-R12</t>
  </si>
  <si>
    <t>BQ-J-R13</t>
  </si>
  <si>
    <t>BQ-J-R14</t>
  </si>
  <si>
    <t>BQ-J-R15</t>
  </si>
  <si>
    <t>BQ-J-R16</t>
  </si>
  <si>
    <t>BQ-J-R17</t>
  </si>
  <si>
    <t>BQ-J-R18</t>
  </si>
  <si>
    <t>BCI</t>
  </si>
  <si>
    <t>Receved in XAF</t>
  </si>
  <si>
    <t>Spent  in XAF</t>
  </si>
  <si>
    <t>Achat credit MTN/Benin pour internet  et communication</t>
  </si>
  <si>
    <t>Telephone</t>
  </si>
  <si>
    <t>DOVI</t>
  </si>
  <si>
    <t>DH-J-R1</t>
  </si>
  <si>
    <t>CONGO</t>
  </si>
  <si>
    <t>Achat credit  teléphonique MTN/PALF/Première partie du mois de Janvier 2025/Office</t>
  </si>
  <si>
    <t>Merveille</t>
  </si>
  <si>
    <t>CA-J-R1</t>
  </si>
  <si>
    <t>Achat credit  teléphonique MTN/PALF/Première partie du mois de Janvier 2025/Legal</t>
  </si>
  <si>
    <t>CA-J-R2</t>
  </si>
  <si>
    <t>Achat credit  teléphonique MTN/PALF/Première partie du mois de Janvier 2025/Investigation</t>
  </si>
  <si>
    <t>CA-J-R3</t>
  </si>
  <si>
    <t>Achat credit  teléphonique MTN/PALF/Première partie du mois de Janvier 2025/Media</t>
  </si>
  <si>
    <t>CA-J-R4</t>
  </si>
  <si>
    <t>Achat credit  teléphonique Airtel/PALF/Première partie du mois de Janvier 2025/Legal</t>
  </si>
  <si>
    <t>CA-J-R5</t>
  </si>
  <si>
    <t>Achat credit  teléphonique Airtel/PALF/Première partie du mois de Janvier 2025/Investigation</t>
  </si>
  <si>
    <t>CA-J-R6</t>
  </si>
  <si>
    <t>Achat credit  teléphonique Airtel/PALF/Première partie du mois de Janvier 2025/Media</t>
  </si>
  <si>
    <t>CA-J-R7</t>
  </si>
  <si>
    <t>Achat eau mineral 10 bidons de 16,5Litres pour le bureau PALF</t>
  </si>
  <si>
    <t>Office Materiels</t>
  </si>
  <si>
    <t>CA-J-R8</t>
  </si>
  <si>
    <t>Transport</t>
  </si>
  <si>
    <t>T73</t>
  </si>
  <si>
    <t>T73-J-R1</t>
  </si>
  <si>
    <t>Travel Subsistence</t>
  </si>
  <si>
    <t>T73-J-D1</t>
  </si>
  <si>
    <t>Achat billet d'Avion Retour Cotonou - Brazzaville/DOVI</t>
  </si>
  <si>
    <t>DH-J-R2</t>
  </si>
  <si>
    <t>Frais de transfert d'argent à DOVI</t>
  </si>
  <si>
    <t>Transfert fees</t>
  </si>
  <si>
    <t>CA-J-R9</t>
  </si>
  <si>
    <t>P29</t>
  </si>
  <si>
    <t>P29-J-R1</t>
  </si>
  <si>
    <t>Achat de Billet Brazzaville-Owando/Romain</t>
  </si>
  <si>
    <t>Romain</t>
  </si>
  <si>
    <t>RM-J-R1</t>
  </si>
  <si>
    <t>Achat billet Brazzaville - Owando/Abraham</t>
  </si>
  <si>
    <t>Abraham</t>
  </si>
  <si>
    <t>AB-J-R1</t>
  </si>
  <si>
    <t>Frais de transfert d'argent à T73</t>
  </si>
  <si>
    <t>Roderlin</t>
  </si>
  <si>
    <t>CA-J-R10</t>
  </si>
  <si>
    <t>Achat billet Brazzaville-Owando/Donald-Roméo</t>
  </si>
  <si>
    <t xml:space="preserve">Transport </t>
  </si>
  <si>
    <t>Donald-Roméo</t>
  </si>
  <si>
    <t>DR-J-R1</t>
  </si>
  <si>
    <t>Billet: Brazzaville-Owando/Crepin</t>
  </si>
  <si>
    <t>Crépin</t>
  </si>
  <si>
    <t>CR-J-R1</t>
  </si>
  <si>
    <t>OAK</t>
  </si>
  <si>
    <t>P29-J-D1</t>
  </si>
  <si>
    <t>ROMAIN-CONGO Food Alowance du 09 au 25  janvier à Owando(16 Nuitées)</t>
  </si>
  <si>
    <t>RM-J-D1</t>
  </si>
  <si>
    <t>ABRAHAM - CONGO food allowance du 09 au 17/01/2025 à Owando (08Nuitées)</t>
  </si>
  <si>
    <t>AB-J-D1</t>
  </si>
  <si>
    <t>Frais de transfert d'argent à P29 et Romain</t>
  </si>
  <si>
    <t>CA-J-R11</t>
  </si>
  <si>
    <t>Donald-Roméo - CONGO Food Allowance Mission du  09 au 19/01/2025 à Owando</t>
  </si>
  <si>
    <t>DR-J-D1</t>
  </si>
  <si>
    <t>Achat billet Brazzaville-Owando/Evariste</t>
  </si>
  <si>
    <t>Evariste</t>
  </si>
  <si>
    <t>EV-J-R1</t>
  </si>
  <si>
    <t>CREPIN IBOUILI - CONGO Food-Allowance à Owando du 10 au 25/01/2025/(15 Nuitées)</t>
  </si>
  <si>
    <t>CR-J-D1</t>
  </si>
  <si>
    <t>CA-J-R12</t>
  </si>
  <si>
    <t>Reglement facture d'electricité periode Novembre - Decembre 2024/Bureau PALF</t>
  </si>
  <si>
    <t>CA-J-R13</t>
  </si>
  <si>
    <t>EVARISTE - CONGO Food Allowance du 10 au 17 janvier 2025 mission à Owando (7 nuitées)</t>
  </si>
  <si>
    <t>EV-J-D1</t>
  </si>
  <si>
    <t>CREPIN IBOUILI  - CONGO Frais d'hôtel à Owando du 10 au 13/01/2025 (03 Nuitées)</t>
  </si>
  <si>
    <t>CR-J-R2</t>
  </si>
  <si>
    <t>P29-J-R2</t>
  </si>
  <si>
    <t>CA-J-R14</t>
  </si>
  <si>
    <t>Frais de transfert d'argent à Romain,P29 et Donald-Roméo</t>
  </si>
  <si>
    <t>CA-J-R15</t>
  </si>
  <si>
    <t>Raffraichissement et plats avec 03 gendarmes pendant l'attente du top</t>
  </si>
  <si>
    <t>CR-J-R3</t>
  </si>
  <si>
    <t>Achat credit  teléphonique MTN/PALF/Deuxième partie du mois de Janvier 2025/Management</t>
  </si>
  <si>
    <t>CA-J-R17</t>
  </si>
  <si>
    <t>Achat credit  teléphonique MTN/PALF/Deuxième partie du mois de Janvier 2025/Legal</t>
  </si>
  <si>
    <t>CA-J-R18</t>
  </si>
  <si>
    <t>Achat credit  teléphonique MTN/PALF/Deuxième partie du mois de Janvier 2025/Investigation</t>
  </si>
  <si>
    <t>CA-J-R19</t>
  </si>
  <si>
    <t>Achat credit  teléphonique MTN/PALF/Deuxième partie du mois de Janvier 2025/Media</t>
  </si>
  <si>
    <t>CA-J-R20</t>
  </si>
  <si>
    <t>Achat credit  teléphonique Airtel/PALF/Deuxième partie du mois de Janvier 2025/Legal</t>
  </si>
  <si>
    <t>CA-J-R21</t>
  </si>
  <si>
    <t>Achat credit  teléphonique Airtel/PALF/Deuxième partie du mois de Janvier 2025/Investigation</t>
  </si>
  <si>
    <t>CA-J-R22</t>
  </si>
  <si>
    <t>P29-J-R3</t>
  </si>
  <si>
    <t>T73-J-R2</t>
  </si>
  <si>
    <t>Location  1 Taxis pour l'opération (Gendarmerie-Hotel  la Concorde:Aller-Retour)</t>
  </si>
  <si>
    <t>RM-J-R2</t>
  </si>
  <si>
    <t>RM-J-R3</t>
  </si>
  <si>
    <t xml:space="preserve">Rafraichissement en attente opération </t>
  </si>
  <si>
    <t>RM-J-R4</t>
  </si>
  <si>
    <t>ABRAHAM - CONGO frais d'Hôtel (Hôtel Joela) du 09 au 15/01/2025 Owando (06Nuitées)</t>
  </si>
  <si>
    <t>AB-J-R2</t>
  </si>
  <si>
    <t>Rafraîchissement attente op</t>
  </si>
  <si>
    <t>AB-J-R3</t>
  </si>
  <si>
    <t>Achat billet Brazzaville-Dolisie/Rodelin</t>
  </si>
  <si>
    <t>RO-J-R1</t>
  </si>
  <si>
    <t>Frais de mission maitre marie Helène à dolisie du 16 au 18/01/2025</t>
  </si>
  <si>
    <t>Lawyer fees</t>
  </si>
  <si>
    <t>CA-J-R16</t>
  </si>
  <si>
    <t>Achat carburant BJ  pour OP</t>
  </si>
  <si>
    <t>DR-J-R2</t>
  </si>
  <si>
    <t>Raffraichissement OP  à Owando/10  gendarmes et moi</t>
  </si>
  <si>
    <t>DR-J-R3</t>
  </si>
  <si>
    <t>Rafraichissement de mon équipe lors de l'opération</t>
  </si>
  <si>
    <t>EV-J-R2</t>
  </si>
  <si>
    <t>Bonus pour 16 gendarmes ayant participé à l'opération du 15 Janvier 2025 à Owando</t>
  </si>
  <si>
    <t>Bonus</t>
  </si>
  <si>
    <t>CR-J-R4</t>
  </si>
  <si>
    <t>Bonus pour 02 EF ayant participé à l'opération du 15 Janvier 2025 à Owando</t>
  </si>
  <si>
    <t>CR-J-R5</t>
  </si>
  <si>
    <t>Frais de transfert d'argent à Crepin,T73 et Evariste</t>
  </si>
  <si>
    <t>CA-J-R23</t>
  </si>
  <si>
    <t>Achat billet Oyo-Brazzaville(Océan du Nord)/Abraham</t>
  </si>
  <si>
    <t>AB-J-R4</t>
  </si>
  <si>
    <t>RODERLIN-CONGO food allowance du 16 au 18/01/2025 à Dolisie (02 nuitées)</t>
  </si>
  <si>
    <t>RO-J-D1</t>
  </si>
  <si>
    <t>Achat billet Owando-Brazzaville/Evariste</t>
  </si>
  <si>
    <t>EV-J-R3</t>
  </si>
  <si>
    <t>Frais de transfert d'argent à Donald-Roméo et Romain</t>
  </si>
  <si>
    <t>CA-J-R24</t>
  </si>
  <si>
    <t>Frais de mission maitre Alain BANZOUZI du 19 au 22/01/2025 à Owando</t>
  </si>
  <si>
    <t>CA-J-R25</t>
  </si>
  <si>
    <t>P29-J-R4</t>
  </si>
  <si>
    <t>P29-J-R5</t>
  </si>
  <si>
    <t>P29-J-R6</t>
  </si>
  <si>
    <t>P29-J-R7</t>
  </si>
  <si>
    <t>T73-J-R3</t>
  </si>
  <si>
    <t>T73-J-R4</t>
  </si>
  <si>
    <t>ABRAHAM - CONGO frais d'Hôtel (Hôtel Saint Benoit) du 17 au 17/01/2025 Oyo (02Nuitées)</t>
  </si>
  <si>
    <t>AB-J-R5</t>
  </si>
  <si>
    <t>Cumul frais de Jail visit du mois de Janvier 2025/Roderlin</t>
  </si>
  <si>
    <t>RO-J-D2</t>
  </si>
  <si>
    <t>Achat billet Dolisie -Brazzaville /Roderlin</t>
  </si>
  <si>
    <t>RO-J-R2</t>
  </si>
  <si>
    <t>DR-J-R4</t>
  </si>
  <si>
    <t>EVARISTE - CONGO Frais d'hôtel du 10 au 17 janvier 2025 (7 nuitées) à Owando</t>
  </si>
  <si>
    <t>EV-J-R4</t>
  </si>
  <si>
    <t>RODERLIN-CONGO frais d'hôtel du 16 au 18/01/2025 à DOLISIE (02 nuitées)</t>
  </si>
  <si>
    <t>RO-J-R3</t>
  </si>
  <si>
    <t>DONALD-ROMEO - CONGO Frais d'hôtel du 09 au 19/01/2025 à  Owando (Hôtel  Joella)/ 10 Nuitées</t>
  </si>
  <si>
    <t>DR-J-R5</t>
  </si>
  <si>
    <t>Cumul frais de transport local du mois de Janvier 2025/Donald-Roméo</t>
  </si>
  <si>
    <t>DR-J-D2</t>
  </si>
  <si>
    <t>CA-J-R26</t>
  </si>
  <si>
    <t>Prestation de nettoyage Jardin PALF mois de Janvier 2025</t>
  </si>
  <si>
    <t>Services</t>
  </si>
  <si>
    <t>CA-J-R27</t>
  </si>
  <si>
    <t>T73-J-R5</t>
  </si>
  <si>
    <t>Achat carte sim pour T73</t>
  </si>
  <si>
    <t>Investigation materials</t>
  </si>
  <si>
    <t>T73-J-R16</t>
  </si>
  <si>
    <t>Impréssion de la procédure de la Gendaremrie</t>
  </si>
  <si>
    <t>RM-J-R5</t>
  </si>
  <si>
    <t>Cumul frais de jail visit du mois de Janvier 2025/Romain</t>
  </si>
  <si>
    <t>Jail visit</t>
  </si>
  <si>
    <t>RM-J-D2</t>
  </si>
  <si>
    <t>Bonus media portant sur l'operation du 15/01/2025</t>
  </si>
  <si>
    <t>CA-J-D1</t>
  </si>
  <si>
    <t>IT87</t>
  </si>
  <si>
    <t>IT87-J-D1</t>
  </si>
  <si>
    <t>IT87-J-R1</t>
  </si>
  <si>
    <t>P29-J-R8</t>
  </si>
  <si>
    <t>P29-J-D2</t>
  </si>
  <si>
    <t>T73-J-D2</t>
  </si>
  <si>
    <t>G12</t>
  </si>
  <si>
    <t>G12-J-R1</t>
  </si>
  <si>
    <t>G12-J-D1</t>
  </si>
  <si>
    <t>Cumul frais de transport local du mois de Janvier 2025/Abraham</t>
  </si>
  <si>
    <t>AB-J-D2</t>
  </si>
  <si>
    <t xml:space="preserve">Frais de transfert d'argent à Romain </t>
  </si>
  <si>
    <t>CA-J-R28</t>
  </si>
  <si>
    <t>Recharge bouteille de gaz de 12KG/Bureau PALF</t>
  </si>
  <si>
    <t>CA-J-R29</t>
  </si>
  <si>
    <t>Frais de notification contrat Roderlin et Abraham</t>
  </si>
  <si>
    <t>CA-J-R31</t>
  </si>
  <si>
    <t>Frais de transfert d'argent à T73,P29,IT87 et G12</t>
  </si>
  <si>
    <t>CA-J-R30</t>
  </si>
  <si>
    <t>Billet: Owando-Brazzaville/Crepin</t>
  </si>
  <si>
    <t>CR-J-R6</t>
  </si>
  <si>
    <t>IT87-J-R2</t>
  </si>
  <si>
    <t>IT87-J-R3</t>
  </si>
  <si>
    <t>P29-J-R9</t>
  </si>
  <si>
    <t>P29-J-R10</t>
  </si>
  <si>
    <t>T73-J-R6</t>
  </si>
  <si>
    <t>T73-J-R7</t>
  </si>
  <si>
    <t>G12-J-R2</t>
  </si>
  <si>
    <t>G12-J-R3</t>
  </si>
  <si>
    <t>Achat de Billet Owando-Brazzaville/Romain</t>
  </si>
  <si>
    <t>CREPIN IBOUILI  - CONGO Frais d'hôtel à Owando du 15 au 25/01/2025/10 Nuitées</t>
  </si>
  <si>
    <t>CR-J-R7</t>
  </si>
  <si>
    <t>Cumul frais de transport local du mois de Janvier 2025/Crepin</t>
  </si>
  <si>
    <t>CR-J-D2</t>
  </si>
  <si>
    <t>ROMAIN - CONGO Frais d'hôtel de la mission du 09 au 25/2025 à Owando(16 nuitées)</t>
  </si>
  <si>
    <t>RM-J-R7</t>
  </si>
  <si>
    <t>IT87-J-R4</t>
  </si>
  <si>
    <t>IT87-J-R5</t>
  </si>
  <si>
    <t>P29-J-R11</t>
  </si>
  <si>
    <t>P29-J-R12</t>
  </si>
  <si>
    <t>P29-J-R13</t>
  </si>
  <si>
    <t>T73-J-R8</t>
  </si>
  <si>
    <t>T73-J-R9</t>
  </si>
  <si>
    <t>G12-J-R4</t>
  </si>
  <si>
    <t>G12-J-R5</t>
  </si>
  <si>
    <t>Prime de fin d'année Donald-Roméo</t>
  </si>
  <si>
    <t>CA-J-D2</t>
  </si>
  <si>
    <t>Cumul frais de trust building du mois de Janvier 2025/IT87</t>
  </si>
  <si>
    <t>Trust Building</t>
  </si>
  <si>
    <t>IT87-J-D2</t>
  </si>
  <si>
    <t>Cumul frais de trust building du mois de Janvier 2025/G12</t>
  </si>
  <si>
    <t>Trust building</t>
  </si>
  <si>
    <t>G12-J-D2</t>
  </si>
  <si>
    <t>Bonus du mois de Janvier 2025/Donald-Roméo</t>
  </si>
  <si>
    <t>CA-J-D3</t>
  </si>
  <si>
    <t>Bonus Opération du 15/01/2025 à Owando</t>
  </si>
  <si>
    <t>CA-J-D4</t>
  </si>
  <si>
    <t>Paiement retraite Coordinateur periode Octobre,Novembre et Decembre 2024</t>
  </si>
  <si>
    <t>CA-J-R33</t>
  </si>
  <si>
    <t>IT87-J-R6</t>
  </si>
  <si>
    <t>IT87-J-R7</t>
  </si>
  <si>
    <t>P29-J-R14</t>
  </si>
  <si>
    <t>P29-J-R15</t>
  </si>
  <si>
    <t>T73-J-R10</t>
  </si>
  <si>
    <t>T73-J-R11</t>
  </si>
  <si>
    <t>G12-J-R6</t>
  </si>
  <si>
    <t>G12-J-R7</t>
  </si>
  <si>
    <t>Achat carburant 100litre de Gazoil/Groupe electrogène PALF</t>
  </si>
  <si>
    <t>CA-J-R32</t>
  </si>
  <si>
    <t>Règlement prestation technicienne de surface (mois de Janvier 2025)</t>
  </si>
  <si>
    <t>CA-J-R34</t>
  </si>
  <si>
    <t>P29-J-R16</t>
  </si>
  <si>
    <t>P29-J-R17</t>
  </si>
  <si>
    <t>Cumul frais de trust building du mois de Janvier 2025/P29</t>
  </si>
  <si>
    <t>P29-J-D3</t>
  </si>
  <si>
    <t>T73-J-R12</t>
  </si>
  <si>
    <t>T73-J-R13</t>
  </si>
  <si>
    <t>Cumul frais de trust building du mois de Janvier 2025/T73</t>
  </si>
  <si>
    <t>T73-J-D3</t>
  </si>
  <si>
    <t>G12-J-R8</t>
  </si>
  <si>
    <t>G12-J-R9</t>
  </si>
  <si>
    <t>G12-J-R10</t>
  </si>
  <si>
    <t>IT87-J-R8</t>
  </si>
  <si>
    <t>IT87-J-R9</t>
  </si>
  <si>
    <t>Cumul frais de transport local du mois de Janvier 2025/IT87</t>
  </si>
  <si>
    <t>IT87-J-D3</t>
  </si>
  <si>
    <t>P29-J-R18</t>
  </si>
  <si>
    <t>P29-J-R19</t>
  </si>
  <si>
    <t>Cumul frais de transport local du mois de Janvier 2025/P29</t>
  </si>
  <si>
    <t>P29-J-D4</t>
  </si>
  <si>
    <t>T73-J-R14</t>
  </si>
  <si>
    <t>T73-J-R15</t>
  </si>
  <si>
    <t>Cumul frais de transport local du mois de Janvier 2025/T73</t>
  </si>
  <si>
    <t>T73-J-D4</t>
  </si>
  <si>
    <t>G12-J-R11</t>
  </si>
  <si>
    <t>Cumul frais de transport local du mois Janvier 2025/G12</t>
  </si>
  <si>
    <t>G12-J-D3</t>
  </si>
  <si>
    <t>Cumul frais de transport local du mois de Janvier 2025/Roderlin</t>
  </si>
  <si>
    <t>RO-J-D3</t>
  </si>
  <si>
    <t>Cumul frais de transport local du mois de Janvier 2025/EVARISTE</t>
  </si>
  <si>
    <t>EV-J-D2</t>
  </si>
  <si>
    <t>Bonus media portant sur le bilan des interpellation de 2023 et 2024</t>
  </si>
  <si>
    <t>CA-J-D5</t>
  </si>
  <si>
    <t>Cumul frais de transport local du mois de Janvier 2025/DOVI</t>
  </si>
  <si>
    <t>DH-J-D1</t>
  </si>
  <si>
    <t>Reglement loyer du mois de Janvier 2025/DOVI Coordinateur PALF</t>
  </si>
  <si>
    <t>personnel</t>
  </si>
  <si>
    <t>DH-J-R3</t>
  </si>
  <si>
    <t>Cumul frais de transport local du mois de Janvier 2025/Merveille</t>
  </si>
  <si>
    <t>ME-J-D1</t>
  </si>
  <si>
    <t>Ramassage Ordure/bureau PALF</t>
  </si>
  <si>
    <t>CA-J-R35</t>
  </si>
  <si>
    <t>Reglement facture internet perionde du 01/02 au 28/02/2025 bureau PALF</t>
  </si>
  <si>
    <t xml:space="preserve">Internet </t>
  </si>
  <si>
    <t>CA-J-R36</t>
  </si>
  <si>
    <t>Cumul frais de transport local du mois de Janvier 2025/LOUNDOU Jean Romain</t>
  </si>
  <si>
    <t>RM-J-D3</t>
  </si>
  <si>
    <t>Installation Pack office et activation et installation des pratiques logiques</t>
  </si>
  <si>
    <t>Website and software</t>
  </si>
  <si>
    <t>CA-J-R37</t>
  </si>
  <si>
    <t>Donald-Romeo</t>
  </si>
  <si>
    <t>Donors 2025</t>
  </si>
  <si>
    <t>Rufford</t>
  </si>
  <si>
    <t>Dovi</t>
  </si>
  <si>
    <t>I55S</t>
  </si>
  <si>
    <t>Investigations</t>
  </si>
  <si>
    <t>I73X</t>
  </si>
  <si>
    <t>COMPTA DOVI - Coordinateur</t>
  </si>
  <si>
    <t>Détails dépenses</t>
  </si>
  <si>
    <t>Types dépenses (Personnel, Bonus/ Lawyer Bonus, Travel Expenses, Travel subsistence, Office Materials,Rent &amp; Utilities, Services,Telephone, Internet,Bonus,Trust building, Bank charges,Transfer fees, Jail Visits, Editing Costs,Equipment, Publications, Cour</t>
  </si>
  <si>
    <t>Département (Investigations, Legal, Operations, Media, Management, CCU, EAGLE Family, Policy &amp; External relations)</t>
  </si>
  <si>
    <t>Montant reçu</t>
  </si>
  <si>
    <t>Montant dépensé</t>
  </si>
  <si>
    <t>Nom</t>
  </si>
  <si>
    <t>Reçu</t>
  </si>
  <si>
    <t>COMPTA Crepin - Assistant à la Coordination</t>
  </si>
  <si>
    <t>COMPTA MERVEILLE-Comptable</t>
  </si>
  <si>
    <t xml:space="preserve">COMPTA IT87 (Daniel) - Consultant Enquêteur </t>
  </si>
  <si>
    <t xml:space="preserve">COMPTA P29 (Bourgeois) - Consultant Enquêteur </t>
  </si>
  <si>
    <t xml:space="preserve">COMPTA T73 (Trésor) - Consultant Enquêteur </t>
  </si>
  <si>
    <t>COMPTA G12(&gt;&gt;&gt;&gt;) - Consultante Enquêtrice</t>
  </si>
  <si>
    <t>COMPTA Abraham-Juriste</t>
  </si>
  <si>
    <t>Reçu caisse/Roderlin</t>
  </si>
  <si>
    <t>Balalce</t>
  </si>
  <si>
    <t>COMPTA Evariste - Chargé Media</t>
  </si>
  <si>
    <t>Étiquettes de lignes</t>
  </si>
  <si>
    <t>Total général</t>
  </si>
  <si>
    <t>Somme de Spent  in XAF</t>
  </si>
  <si>
    <t xml:space="preserve">Somme de Spent </t>
  </si>
  <si>
    <t>Somme de Received</t>
  </si>
  <si>
    <t>returned to caisse</t>
  </si>
  <si>
    <t>Receved  $</t>
  </si>
  <si>
    <t>Somme de Spent in $</t>
  </si>
  <si>
    <t>Reglement facture d'hotel Eric ONA du 07 au 14/01/2025/(07 Nuitées)</t>
  </si>
  <si>
    <t>Homéfa DOVI ZENNAWOE</t>
  </si>
  <si>
    <t>Reglement loyer du mois de Décembre 2024/3654776</t>
  </si>
  <si>
    <t>Received in XAF</t>
  </si>
  <si>
    <t>Received in $</t>
  </si>
  <si>
    <t>Reglement Facture Gardiennage Mois de Décembre 2024/3654775</t>
  </si>
  <si>
    <t>Paiement Honoraire Me LOCKO/Mois de Décembre 2024/3654777</t>
  </si>
  <si>
    <t>Achat billet Owando-Brazzaville/Donald-Roméo</t>
  </si>
  <si>
    <t>Achat encre 216A et registre</t>
  </si>
  <si>
    <t>BQ-F-R1</t>
  </si>
  <si>
    <t>BQ-F-R2</t>
  </si>
  <si>
    <t>Solde honoraire contrat n°81 Owando cas Monick/ Maître BANZOUZI Alain/3654800</t>
  </si>
  <si>
    <t>BQ-F-R3</t>
  </si>
  <si>
    <t>Reglement frais d'assurance multi risque/Bureau PALF</t>
  </si>
  <si>
    <t>BQ-F-R4</t>
  </si>
  <si>
    <t>Reglement loyer du mois de Février 2025/3654804</t>
  </si>
  <si>
    <t>Achat billet, Brazzaville-Owando/Evariste</t>
  </si>
  <si>
    <t>EV-F-R1</t>
  </si>
  <si>
    <t>EVARISTE - CONGO Ration du 15 au 28 février 2025, mission d'Owando (13 nuitées)</t>
  </si>
  <si>
    <t>EV-F-D1</t>
  </si>
  <si>
    <t>EV-F-D2</t>
  </si>
  <si>
    <t>EVARISTE - CONGO Frais de l'hôtel du 15 au 25 février 2025 à Owando (10 nuitées)</t>
  </si>
  <si>
    <t>EV-F-R2</t>
  </si>
  <si>
    <t xml:space="preserve">EVARISTE - CONGO Frais de l'hôtel du 25 au 28 février 2025 (3 nuitées) </t>
  </si>
  <si>
    <t>EV-F-R3</t>
  </si>
  <si>
    <t>EV-F-R4</t>
  </si>
  <si>
    <t>Cumul frais de transport local du mois de Février 2025/Evariste</t>
  </si>
  <si>
    <t>EV-F-D3</t>
  </si>
  <si>
    <t>Bonus media portant sur l'audience du 06 Février au TG1 d'Owando</t>
  </si>
  <si>
    <t>CA-F-D1</t>
  </si>
  <si>
    <t>Bonus media portant sur la journée mondiale du Pangolin</t>
  </si>
  <si>
    <t>CA-F-D12</t>
  </si>
  <si>
    <t>Bonus media portant sur l'interpellation de deux présumé trafiquants le 24/02/2025 à Owando</t>
  </si>
  <si>
    <t>CA-F-D13</t>
  </si>
  <si>
    <t>CA-F-R11</t>
  </si>
  <si>
    <t>Achat billet Brazzaville-Owando(Trans bony)/Abraham</t>
  </si>
  <si>
    <t>AB-F-R1</t>
  </si>
  <si>
    <t>Frais de mission maitre Marie Helène NANITELAMION du 12 au 14 Février 2025 à Owando suivi audience</t>
  </si>
  <si>
    <t>CA-F-R13</t>
  </si>
  <si>
    <t>AB-F-D1</t>
  </si>
  <si>
    <t>ABRAHAM - CONGO frais d'Hôtel (Hôtel Case Mbali) du 12 au 15/02/2025 Owando (03Nuitées)</t>
  </si>
  <si>
    <t>AB-F-R2</t>
  </si>
  <si>
    <t>ABRAHAM - CONGO frais d'Hôtel  du 15au 20/02/2025 Owando (05Nuitées)</t>
  </si>
  <si>
    <t>AB-F-R5</t>
  </si>
  <si>
    <t>Rafraîchissement attente OP</t>
  </si>
  <si>
    <t>AB-F-R3</t>
  </si>
  <si>
    <t>Achat médicaments du prévenu Dodo</t>
  </si>
  <si>
    <t>AB-F-R4</t>
  </si>
  <si>
    <t>Cumul frais de jail visits du mois de Février 2025/Abraham</t>
  </si>
  <si>
    <t>AB-F-D2</t>
  </si>
  <si>
    <t>CREPIN - CONGO Ration du 15/02/ au 05/03/2025 à Owando (18 nuitées)</t>
  </si>
  <si>
    <t>CR-F-D1</t>
  </si>
  <si>
    <t>CR-F-R2</t>
  </si>
  <si>
    <t>Plats et raffraichissements</t>
  </si>
  <si>
    <t>CR-F-R3</t>
  </si>
  <si>
    <t>01 bidon d'eau de 10 litres pour les OPJ sous instruction du Coordinateur</t>
  </si>
  <si>
    <t>CR-F-D2</t>
  </si>
  <si>
    <t>Bonus pour 18 Gendarmes ayant participé à l'opération du 24/02/2025  à Owando</t>
  </si>
  <si>
    <t>CR-F-R4</t>
  </si>
  <si>
    <t>Bonus pour 02 EF ayant participé à l'opération du 24/02/2025  à Owando</t>
  </si>
  <si>
    <t>CR-F-R5</t>
  </si>
  <si>
    <t>Cumul frais de transport local du mois de Février 2025/Crepin IBOUILI IBOUILI</t>
  </si>
  <si>
    <t>CR-F-D3</t>
  </si>
  <si>
    <t>CR-F-R1</t>
  </si>
  <si>
    <t>Achat credit  teléphonique MTN/PALF/Première partie du mois de Février 2025/Management</t>
  </si>
  <si>
    <t>CA-F-R1</t>
  </si>
  <si>
    <t>Achat credit  teléphonique MTN/PALF/Première partie du mois de Février 2025/Legal</t>
  </si>
  <si>
    <t>CA-F-R2</t>
  </si>
  <si>
    <t>Achat credit  teléphonique MTN/PALF/Première partie du mois de Février 2025/Investigation</t>
  </si>
  <si>
    <t>CA-F-R3</t>
  </si>
  <si>
    <t>Achat credit  teléphonique MTN/PALF/Première partie du mois de Février 2025/Media</t>
  </si>
  <si>
    <t>CA-F-R4</t>
  </si>
  <si>
    <t>Achat credit  teléphonique Airtel/PALF/Première partie du mois de Février 2025/Legal</t>
  </si>
  <si>
    <t>CA-F-R5</t>
  </si>
  <si>
    <t>Achat credit  teléphonique Airtel/PALF/Première partie du mois de Février 2025/Investigation</t>
  </si>
  <si>
    <t>CA-F-R6</t>
  </si>
  <si>
    <t>Achat credit  teléphonique Airtel/PALF/Première partie du mois de Février 2025/Media</t>
  </si>
  <si>
    <t>CA-F-R7</t>
  </si>
  <si>
    <t>Frais de mission maitre Alain BANZOUZI du 05 au 07 Février 2025 à Owando suivi audience</t>
  </si>
  <si>
    <t>CA-F-R8</t>
  </si>
  <si>
    <t>Achat eau mineral 16 LITRES/Bureau</t>
  </si>
  <si>
    <t>CA-F-R9</t>
  </si>
  <si>
    <t>Achat produit d'entretien lait,sucre,javel,papier toilette,sucre,café/Bureau PALF</t>
  </si>
  <si>
    <t>CA-F-R10</t>
  </si>
  <si>
    <t>Frais de transfert d'argent à G12</t>
  </si>
  <si>
    <t>CA-F-R12</t>
  </si>
  <si>
    <t>Frais de transfert d'argent à P29</t>
  </si>
  <si>
    <t>CA-F-R14</t>
  </si>
  <si>
    <t>Bonus du mois de Janvier 2025/Merveille</t>
  </si>
  <si>
    <t>CA-F-D2</t>
  </si>
  <si>
    <t>Bonus du mois de Janvier 2025/Crepin</t>
  </si>
  <si>
    <t>CA-F-D3</t>
  </si>
  <si>
    <t>Bonus du mois de Janvier 2025/Romain</t>
  </si>
  <si>
    <t>CA-F-D4</t>
  </si>
  <si>
    <t>Bonus du mois de Janvier 2025/Abraham</t>
  </si>
  <si>
    <t>CA-F-D5</t>
  </si>
  <si>
    <t>Bonus du mois de Janvier 2025/Roderlin</t>
  </si>
  <si>
    <t>CA-F-D6</t>
  </si>
  <si>
    <t>Bonus du mois de Janvier 2025/Evariste</t>
  </si>
  <si>
    <t>CA-F-D7</t>
  </si>
  <si>
    <t>Bonus opération du 15/01/2025 à Owando/Crepin</t>
  </si>
  <si>
    <t>CA-F-D8</t>
  </si>
  <si>
    <t>Bonus opération du 15/01/2025 à Owando/Romain</t>
  </si>
  <si>
    <t>CA-F-D9</t>
  </si>
  <si>
    <t>Bonus opération du 15/01/2025 à Owando/Abraham</t>
  </si>
  <si>
    <t>CA-F-D10</t>
  </si>
  <si>
    <t>Bonus opération du 15/01/2025 à Owando/Evariste</t>
  </si>
  <si>
    <t>CA-F-D11</t>
  </si>
  <si>
    <t>CA-F-R15</t>
  </si>
  <si>
    <t>Frais de mission maitre Alain BANZOUZI du 13 au 15 Février 2025 à Sibiti/suivi audience</t>
  </si>
  <si>
    <t>CA-F-R16</t>
  </si>
  <si>
    <t>CA-F-R17</t>
  </si>
  <si>
    <t>CA-F-R18</t>
  </si>
  <si>
    <t>Parfaite</t>
  </si>
  <si>
    <t>Bonus à un informateur en RDC</t>
  </si>
  <si>
    <t>Frais de transfert d'argent à T73,P29 et Abraham</t>
  </si>
  <si>
    <t>CA-F-R19</t>
  </si>
  <si>
    <t>Achat credit  teléphonique MTN/PALF/Deuxième partie du mois de Février 2025/Management</t>
  </si>
  <si>
    <t>CA-F-R20</t>
  </si>
  <si>
    <t>Achat credit  teléphonique MTN/PALF/Deuxième partie du mois de Février 2025/Legal</t>
  </si>
  <si>
    <t>CA-F-R21</t>
  </si>
  <si>
    <t>Achat credit  teléphonique MTN/PALF/Deuxième partie du mois de Février 2025/Investigation</t>
  </si>
  <si>
    <t>CA-F-R22</t>
  </si>
  <si>
    <t>Achat credit  teléphonique MTN/PALF/Deuxième partie du mois de Février 2025/Media</t>
  </si>
  <si>
    <t>CA-F-R23</t>
  </si>
  <si>
    <t>CA-F-R24</t>
  </si>
  <si>
    <t>Achat credit  teléphonique Airtel/PALF/Deuxième partie du mois de Février 2025/Legal</t>
  </si>
  <si>
    <t>CA-F-R25</t>
  </si>
  <si>
    <t>Achat credit téléphonique pour P29/Appel trust à l'international</t>
  </si>
  <si>
    <t>CA-F-R26</t>
  </si>
  <si>
    <t>Frais de transfert d'argent à Crepin</t>
  </si>
  <si>
    <t>CA-F-R27</t>
  </si>
  <si>
    <t>Frais de mission maitre BANZOUZI à Owando du 19 au 21/02/205 suivi audience cas MONICK</t>
  </si>
  <si>
    <t>CA-F-R28</t>
  </si>
  <si>
    <t>CA-F-R29</t>
  </si>
  <si>
    <t>Frais de transfert bonus à informateur</t>
  </si>
  <si>
    <t>CA-F-R30</t>
  </si>
  <si>
    <t>Frais de transfert d'argent à Abraham</t>
  </si>
  <si>
    <t>CA-F-R31</t>
  </si>
  <si>
    <t>CA-F-R32</t>
  </si>
  <si>
    <t>CA-F-R43</t>
  </si>
  <si>
    <t>CA-F-R33</t>
  </si>
  <si>
    <t>Achat credit téléphonique pour le coordinateur</t>
  </si>
  <si>
    <t>CA-F-R34</t>
  </si>
  <si>
    <t>CA-F-R44</t>
  </si>
  <si>
    <t>Frais de mission à Owando de maitre Alain du 27/02 au 04/03/2025</t>
  </si>
  <si>
    <t>CA-F-R35</t>
  </si>
  <si>
    <t>Reglement prestation de nettoyage jardin PALF du mois de Février 2025</t>
  </si>
  <si>
    <t>CA-F-R36</t>
  </si>
  <si>
    <t>Frais de transfert d'argent à IT87</t>
  </si>
  <si>
    <t>CA-F-R37</t>
  </si>
  <si>
    <t>Ramassage ordure du mois Février 2025/Bureau PALF</t>
  </si>
  <si>
    <t>CA-F-R38</t>
  </si>
  <si>
    <t>Frais de transfert d'argent à Romain</t>
  </si>
  <si>
    <t>CA-F-R45</t>
  </si>
  <si>
    <t>Reglement facture internet periode du 01/03 au 31/03/2025 bureau PALF</t>
  </si>
  <si>
    <t>Internet</t>
  </si>
  <si>
    <t>CA-F-R39</t>
  </si>
  <si>
    <t>Règlement prestation technicienne de surface (mois de Février 2025)</t>
  </si>
  <si>
    <t>CA-F-R40</t>
  </si>
  <si>
    <t>Achat fourniture de bureau/Classeurs,stylo,intercalaire,rame papier,surligneur,chemise cartonnée</t>
  </si>
  <si>
    <t>CA-F-R41</t>
  </si>
  <si>
    <t>Frais de carte de travail Parfaite</t>
  </si>
  <si>
    <t>CA-F-R42</t>
  </si>
  <si>
    <t>DH-F-R1</t>
  </si>
  <si>
    <t>Frais de transfert d'argent par western union à l'informateur</t>
  </si>
  <si>
    <t>DH-F-R2</t>
  </si>
  <si>
    <t>DH-F-R3</t>
  </si>
  <si>
    <t>DOVI -CONGO Ration du 15 Février 2025 au 25 Février 2025 soit 10 nuitées</t>
  </si>
  <si>
    <t>DH-F-D1</t>
  </si>
  <si>
    <t>Achat billet Owando -Brazzaville/DOVI</t>
  </si>
  <si>
    <t>DH-F-R4</t>
  </si>
  <si>
    <t>DOVI-CONGO Frais d'hôtel du 15 Février 2025 au 25 Février 2025 soit 10 nuitées à Owando(Hôtel Savouret)</t>
  </si>
  <si>
    <t>DH-F-R5</t>
  </si>
  <si>
    <t>Cumul frais de transport local du mois de Février 2025/DOVI</t>
  </si>
  <si>
    <t>DH-F-D2</t>
  </si>
  <si>
    <t>Cumul frais de transport local du mois de Février 2025/Merveille</t>
  </si>
  <si>
    <t>ME-F-D1</t>
  </si>
  <si>
    <t>COMPTA PARFAITE-Comptable</t>
  </si>
  <si>
    <t>Reçu caisse/Parfaite</t>
  </si>
  <si>
    <t>Cumul frais de transport local du mois de Février 2025/Parfaite</t>
  </si>
  <si>
    <t>P-F-D1</t>
  </si>
  <si>
    <t>P29-F-R1</t>
  </si>
  <si>
    <t>P29-F-D1</t>
  </si>
  <si>
    <t>P29-F-R2</t>
  </si>
  <si>
    <t>P29-F-R3</t>
  </si>
  <si>
    <t>P29-F-R4</t>
  </si>
  <si>
    <t>P29-F-R5</t>
  </si>
  <si>
    <t>Cumul frais de trust building du mois de Février 2025/P29</t>
  </si>
  <si>
    <t>P29-F-D2</t>
  </si>
  <si>
    <t>P29-F-R6</t>
  </si>
  <si>
    <t>P29-F-R7</t>
  </si>
  <si>
    <t>P29-F-R8</t>
  </si>
  <si>
    <t>P29-F-R9</t>
  </si>
  <si>
    <t>P29-F-R10</t>
  </si>
  <si>
    <t>P29-F-R11</t>
  </si>
  <si>
    <t>P29-F-R12</t>
  </si>
  <si>
    <t>P29-F-R13</t>
  </si>
  <si>
    <t>P29-F-R14</t>
  </si>
  <si>
    <t>P29-F-R15</t>
  </si>
  <si>
    <t>Cumul frais de transport local du mois de Février 2025/P29</t>
  </si>
  <si>
    <t>P29-F-D3</t>
  </si>
  <si>
    <t>T73-F-R1</t>
  </si>
  <si>
    <t>T73-F-D1</t>
  </si>
  <si>
    <t>T73-F-R2</t>
  </si>
  <si>
    <t>T73-F-R4</t>
  </si>
  <si>
    <t>T73-F-R5</t>
  </si>
  <si>
    <t>Cumul frais de trust building du mois de Février 2025/T73</t>
  </si>
  <si>
    <t>T73-F-D2</t>
  </si>
  <si>
    <t>T73-F-R6</t>
  </si>
  <si>
    <t>T73-F-R7</t>
  </si>
  <si>
    <t>Cumul frais de transport local du mois de Février 2025/T73</t>
  </si>
  <si>
    <t>T73-F-D3</t>
  </si>
  <si>
    <t>G12-F-R1</t>
  </si>
  <si>
    <t>G12-F-D1</t>
  </si>
  <si>
    <t>G12-F-R2</t>
  </si>
  <si>
    <t>G12-F-R3</t>
  </si>
  <si>
    <t>G12-F-R4</t>
  </si>
  <si>
    <t>G12-F-R5</t>
  </si>
  <si>
    <t>G12-F-R6</t>
  </si>
  <si>
    <t>G12-F-R7</t>
  </si>
  <si>
    <t>Cumul frais de trust building du mois de Février 2025/G12</t>
  </si>
  <si>
    <t>G12-F-D2</t>
  </si>
  <si>
    <t>G12-F-R8</t>
  </si>
  <si>
    <t>G12-F-R9</t>
  </si>
  <si>
    <t>Cumul frais de transport local du mois Février 2025/G12</t>
  </si>
  <si>
    <t>G12-F-D3</t>
  </si>
  <si>
    <t>Achat  Billet  Brazzaville-Owando/Romain</t>
  </si>
  <si>
    <t>RM-F-R1</t>
  </si>
  <si>
    <t>ROMAIN-CONGO: Ration du 05 au 07/02/2025 à Owando</t>
  </si>
  <si>
    <t>RM-F-D1</t>
  </si>
  <si>
    <t>Achat billet retour Owando-Brazzaville/Romain</t>
  </si>
  <si>
    <t>RM-F-R2</t>
  </si>
  <si>
    <t>ROMAIN - CONGO Frais d'hotel du 05 au 07/02/2025 à Owando(2 nuitées)</t>
  </si>
  <si>
    <t>RM-F-R3</t>
  </si>
  <si>
    <t>Achat Billet Brazzaville-Owando/Romain</t>
  </si>
  <si>
    <t>RM-F-R4</t>
  </si>
  <si>
    <t>RM-F-D2</t>
  </si>
  <si>
    <t>RM-F-R5</t>
  </si>
  <si>
    <t>Carburant BJ Opération</t>
  </si>
  <si>
    <t>RM-F-R6</t>
  </si>
  <si>
    <t>ROMAIN - CONGO - Frais d'hôtel du 15 au 25/02/2025 à Owando(10 Nuitées)</t>
  </si>
  <si>
    <t>RM-F-R8</t>
  </si>
  <si>
    <t>Impréssion de la procédure de la Gendarmerie</t>
  </si>
  <si>
    <t>RM-F-R7</t>
  </si>
  <si>
    <t>Cumul frais de transport local du mois de Février 2025/Romain</t>
  </si>
  <si>
    <t>RM-F-D3</t>
  </si>
  <si>
    <t>Achat billet Brazzaville- Loudima/Roderlin</t>
  </si>
  <si>
    <t>RO-F-R4</t>
  </si>
  <si>
    <t>RODERLIN-CONGO Ration du 13 au 15/02/2025 à Sibiti (02 nuitées)</t>
  </si>
  <si>
    <t>RO-F-D2</t>
  </si>
  <si>
    <t>Achat billet Loudima - Sibiti/Roderlin</t>
  </si>
  <si>
    <t>RO-F-R6</t>
  </si>
  <si>
    <t>Cumul frais de jail visits du mois de Février 2025/Roderlin</t>
  </si>
  <si>
    <t>RO-F-D3</t>
  </si>
  <si>
    <t>RODERLIN-CONGO frais d'hôtel du 13 au 15/02/2025 à Sibiti (02 nuitées)</t>
  </si>
  <si>
    <t>RO-F-R5</t>
  </si>
  <si>
    <t>Taxi: Sibiti-Loudima /Roderlin</t>
  </si>
  <si>
    <t>RO-F-R7</t>
  </si>
  <si>
    <t>Achat billet Loudima-Brazzaville /Roderlin</t>
  </si>
  <si>
    <t>RO-F-R8</t>
  </si>
  <si>
    <t>Cumul frais de transport local du mois de Février 2025/Roderlin</t>
  </si>
  <si>
    <t>RO-F-D4</t>
  </si>
  <si>
    <t xml:space="preserve"> Achat billet Brazzaville- Owando/Roderlin</t>
  </si>
  <si>
    <t>RO-F-R1</t>
  </si>
  <si>
    <t>RODERLIN-CONGO Ration du 05 au 07/02/2025 à Owando (02 nuitées)</t>
  </si>
  <si>
    <t>RO-F-D1</t>
  </si>
  <si>
    <t>Achat billet Owando- Brazzaville /Roderlin</t>
  </si>
  <si>
    <t>RO-F-R2</t>
  </si>
  <si>
    <t>RODERLIN-CONGO frais d'hôtel du 05 au 07/02/2025 à Owando (02 nuitées)</t>
  </si>
  <si>
    <t>RO-F-R3</t>
  </si>
  <si>
    <t>IT87-F-D1</t>
  </si>
  <si>
    <t>IT87-F-R1</t>
  </si>
  <si>
    <t>IT87-F-R2</t>
  </si>
  <si>
    <t>IT87-F-R3</t>
  </si>
  <si>
    <t>IT87-F-R4</t>
  </si>
  <si>
    <t>IT87-F-R5</t>
  </si>
  <si>
    <t>IT87-F-R6</t>
  </si>
  <si>
    <t>IT87-F-D2</t>
  </si>
  <si>
    <t>IT87-F-R7</t>
  </si>
  <si>
    <t>IT87-F-R8</t>
  </si>
  <si>
    <t>IT87-F-R9</t>
  </si>
  <si>
    <t>IT87-F-R10</t>
  </si>
  <si>
    <t>IT87-F-R11</t>
  </si>
  <si>
    <t>IT87-F-R12</t>
  </si>
  <si>
    <t>IT87-F-R13</t>
  </si>
  <si>
    <t>IT87-F-R14</t>
  </si>
  <si>
    <t>IT87-F-D3</t>
  </si>
  <si>
    <t>Cumul frais de Trust building du mois de Février 2025/IT87</t>
  </si>
  <si>
    <t>IT87-F-D4</t>
  </si>
  <si>
    <t>IT87-F-R15</t>
  </si>
  <si>
    <t>IT87-F-R16</t>
  </si>
  <si>
    <t>Cumul frais de Transport local du mois de Février 2025/IT87</t>
  </si>
  <si>
    <t>IT87-F-D5</t>
  </si>
  <si>
    <t>Cumul frais de transport local du mois de Février 2025/Abraham</t>
  </si>
  <si>
    <t>AB-F-D3</t>
  </si>
  <si>
    <t>CREPIN - CONGO Hébergement à l'hôtel Essebo d'Owando, 07 Nuitées du 15 au 22/02/2025</t>
  </si>
  <si>
    <t>Achat billet Brazzaville-Owando/DOVI</t>
  </si>
  <si>
    <t>Paiment assurance DOVI/Assistance Evacuation</t>
  </si>
  <si>
    <t>Achat credit  teléphonique Airtel/PALF/Deuxième partie du mois de Février 2025/Investigation</t>
  </si>
  <si>
    <t>Frais de transfert d'argent à P29 et IT87</t>
  </si>
  <si>
    <t>Fonds envoyé à un informateur en RDC pour des informations</t>
  </si>
  <si>
    <t>Fonds envoyé à un informateur  en RDC pour des informations</t>
  </si>
  <si>
    <t>Paiment assurance DOVI/Individuelle Accidents Corporels</t>
  </si>
  <si>
    <t>Frais de transfert charden farell à Abraham (pour le compte de DOVI et Crépin)</t>
  </si>
  <si>
    <t>Departement</t>
  </si>
  <si>
    <t>Achat credit  teléphonique MTN/PALF/Première partie du mois de Mars2025/Management</t>
  </si>
  <si>
    <t>Achat credit  teléphonique MTN/PALF/Première partie du mois de Mars 2025/Legal</t>
  </si>
  <si>
    <t>Achat credit  teléphonique MTN/PALF/Première partie du mois de Mars 2025/Investigation</t>
  </si>
  <si>
    <t>Achat credit  teléphonique MTN/PALF/Première partie du mois de Mars 2025/Media</t>
  </si>
  <si>
    <t>Achat credit  teléphonique Airtel/PALF/Première partie du mois de Mars 2025/Legal</t>
  </si>
  <si>
    <t>Achat credit  teléphonique Airtel/PALF/Première partie du mois de Mars 2025/Investigation</t>
  </si>
  <si>
    <t>Achat credit  teléphonique Airtel/PALF/Première partie du mois de Mars 2025/Media</t>
  </si>
  <si>
    <t>Achat 01 telephone Tecno POP 7/ 64GB et 4ROM pour Abraham</t>
  </si>
  <si>
    <t>Achat carburant 100 Litres de gazoil groupe electrogène Bureau</t>
  </si>
  <si>
    <t>Bonus operation du 24/02/2025 à Owando/Evariste</t>
  </si>
  <si>
    <t>Bonus operation du 24/02/2025 à Owando/Merveille</t>
  </si>
  <si>
    <t>Bonus du mois de Janvier 2025/Parfaite</t>
  </si>
  <si>
    <t>Bonus operation du 24/02/2025 à Owando/Abraham</t>
  </si>
  <si>
    <t>Bonus media portant sur l'interpellation de 2 Présumés trafiquants le 24/02/205 à Owando</t>
  </si>
  <si>
    <t>Paiement salaire des jours travaillés en février 2025/Parfaite</t>
  </si>
  <si>
    <t>Frais de transfert d'argent en RDC</t>
  </si>
  <si>
    <t>Frais de transfert d'argent à Romain et Crepin</t>
  </si>
  <si>
    <t>Complement frais de mission maitre Banzouzi du 04 au 08/03/3035 à Owando</t>
  </si>
  <si>
    <t>Frais de transport mission maitre Marie Helène à Owando du 05 au 07/03/2025 suivi audience cas EBI</t>
  </si>
  <si>
    <t>Ration et frais d'hotel mission maitre Marie Helène à Owando du 05 au 07/03/2025 suivi audience cas EBI</t>
  </si>
  <si>
    <t>Bonus operation du 24/02/2025 à Owando/Crepin</t>
  </si>
  <si>
    <t>Frais de transfert Bonus à un informateur en RDC</t>
  </si>
  <si>
    <t>Bonus du mois de Février 2025/Romain</t>
  </si>
  <si>
    <t>Bonus operation du 24/02/2025 à Owando/Romain</t>
  </si>
  <si>
    <t>Règlement facture électricité piode Janvier-Février2025/bureau PALF</t>
  </si>
  <si>
    <t>Achat de 14 pagnes africain pour la JIF(08Mars)/Bureau PALF</t>
  </si>
  <si>
    <t>Achat credit téléphonique MTN pour Donald Roméo periode du 12 au 31/03/2025</t>
  </si>
  <si>
    <t>Frais de transfert d'argent à P29 et G12</t>
  </si>
  <si>
    <t>Achat credit  teléphonique MTN/PALF/Deuxième partie du mois de Mars2025/Management</t>
  </si>
  <si>
    <t>Achat credit  teléphonique MTN/PALF/Deuxième partie du mois de Mars 2025/Legal</t>
  </si>
  <si>
    <t>Achat credit  teléphonique MTN/PALF/Deuxième partie du mois de Mars 2025/Investigation</t>
  </si>
  <si>
    <t>Achat credit  teléphonique MTN/PALF/deuxième partie du mois de Mars 2025/Media</t>
  </si>
  <si>
    <t>Achat credit  teléphonique Airtel/PALF/Deuxième partie du mois de Mars 2025/Legal</t>
  </si>
  <si>
    <t>Achat credit  teléphonique Airtel/PALF/Deuxième partie du mois de Mars 2025/Investigation</t>
  </si>
  <si>
    <t>Frais de transport mission à Owando de maitre Alain du 19au 21/03/2025 suivi audience à Owando</t>
  </si>
  <si>
    <t>Frais de transfert d'argent à Crepin, Evariste, Abraham, Romain et Donald-Romeo</t>
  </si>
  <si>
    <t>Achat 05 Cartouche d'encre  HP Laser noire et couleur 216A</t>
  </si>
  <si>
    <t>Achat produit d'entretien  et Main d'œuvre du groupe électrogène/Bureau PALF</t>
  </si>
  <si>
    <t>Frais de transfert d'argent  à crepin et IT87</t>
  </si>
  <si>
    <t>Frais de transfert d'argent à  T73 par  momo</t>
  </si>
  <si>
    <t xml:space="preserve">Ration et frais d'hotel mission à Dolisie de maitre BANZOUZI Alain du 25/03/ au 05/04/2025 suivi audience </t>
  </si>
  <si>
    <t>Achat carburant groupe electrogène Bureau</t>
  </si>
  <si>
    <t>Bonus media portant sur l'interpellation de 2 Présumés trafiquants le 22/03/205 à Dolisie</t>
  </si>
  <si>
    <t>ramassage Ordure du mois de Mars 2025/Bureau PALF</t>
  </si>
  <si>
    <t>Frais de transfert d'argent  à crepin et Donald-Roméo</t>
  </si>
  <si>
    <t>Reglement prestation de nettoyage Bureau PALF du mois de Mars 2025</t>
  </si>
  <si>
    <t>Reglement facture internet periode du 01/04 au 30/04/2025 bureau PALF</t>
  </si>
  <si>
    <t>Frais de transfert d'argent à Crepin, Me Alain et Donald-Romeo</t>
  </si>
  <si>
    <t>CA-M-R1</t>
  </si>
  <si>
    <t>CA-M-R2</t>
  </si>
  <si>
    <t>CA-M-R3</t>
  </si>
  <si>
    <t>CA-M-R4</t>
  </si>
  <si>
    <t>CA-M-R5</t>
  </si>
  <si>
    <t>CA-M-R6</t>
  </si>
  <si>
    <t>CA-M-R7</t>
  </si>
  <si>
    <t>CA-M-R8</t>
  </si>
  <si>
    <t>CA-M-R9</t>
  </si>
  <si>
    <t>CA-M-R10</t>
  </si>
  <si>
    <t>CA-M-R11</t>
  </si>
  <si>
    <t>CA-M-R12</t>
  </si>
  <si>
    <t>CA-M-R13</t>
  </si>
  <si>
    <t>CA-M-R14</t>
  </si>
  <si>
    <t>CA-M-R15</t>
  </si>
  <si>
    <t>CA-M-R16</t>
  </si>
  <si>
    <t>CA-M-R17</t>
  </si>
  <si>
    <t>CA-M-R18</t>
  </si>
  <si>
    <t>CA-M-R19</t>
  </si>
  <si>
    <t>CA-M-R20</t>
  </si>
  <si>
    <t>CA-M-R21</t>
  </si>
  <si>
    <t>CA-M-R22</t>
  </si>
  <si>
    <t>CA-M-R23</t>
  </si>
  <si>
    <t>CA-M-R24</t>
  </si>
  <si>
    <t>CA-M-R25</t>
  </si>
  <si>
    <t>CA-M-R26</t>
  </si>
  <si>
    <t>CA-M-R27</t>
  </si>
  <si>
    <t>CA-M-R28</t>
  </si>
  <si>
    <t>CA-M-R29</t>
  </si>
  <si>
    <t>CA-M-R30</t>
  </si>
  <si>
    <t>CA-M-R31</t>
  </si>
  <si>
    <t>CA-M-R32</t>
  </si>
  <si>
    <t>CA-M-R33</t>
  </si>
  <si>
    <t>CA-M-R34</t>
  </si>
  <si>
    <t>CA-M-R35</t>
  </si>
  <si>
    <t>CA-M-R36</t>
  </si>
  <si>
    <t>CA-M-R37</t>
  </si>
  <si>
    <t>CA-M-R38</t>
  </si>
  <si>
    <t>CA-M-R39</t>
  </si>
  <si>
    <t>CA-M-R40</t>
  </si>
  <si>
    <t>CA-M-R41</t>
  </si>
  <si>
    <t>CA-M-R42</t>
  </si>
  <si>
    <t>CA-M-R43</t>
  </si>
  <si>
    <t>CA-M-R44</t>
  </si>
  <si>
    <t>CA-M-R45</t>
  </si>
  <si>
    <t>CA-M-R46</t>
  </si>
  <si>
    <t>CA-M-R47</t>
  </si>
  <si>
    <t>CA-M-R48</t>
  </si>
  <si>
    <t>CA-M-R49</t>
  </si>
  <si>
    <t>CA-M-R50</t>
  </si>
  <si>
    <t>CA-M-R51</t>
  </si>
  <si>
    <t>CA-M-R52</t>
  </si>
  <si>
    <t>CA-M-R53</t>
  </si>
  <si>
    <t>CA-M-R54</t>
  </si>
  <si>
    <t>CA-M-R55</t>
  </si>
  <si>
    <t>CA-M-D1</t>
  </si>
  <si>
    <t>CA-M-D2</t>
  </si>
  <si>
    <t>CA-M-D3</t>
  </si>
  <si>
    <t>CA-M-D4</t>
  </si>
  <si>
    <t>CA-M-D5</t>
  </si>
  <si>
    <t>CA-M-D6</t>
  </si>
  <si>
    <t>CA-M-D7</t>
  </si>
  <si>
    <t>CA-M-D8</t>
  </si>
  <si>
    <t>CA-M-D9</t>
  </si>
  <si>
    <t>CA-M-D10</t>
  </si>
  <si>
    <t>CA-M-D11</t>
  </si>
  <si>
    <t>CA-M-D12</t>
  </si>
  <si>
    <t>CA-M-D13</t>
  </si>
  <si>
    <t>CA-M-D14</t>
  </si>
  <si>
    <t>CA-M-D15</t>
  </si>
  <si>
    <t>Paiement salaire du mois de Février 2025/FOUMBA Roderlin/3654808</t>
  </si>
  <si>
    <t>Paiement salaire du mois de Février 2025/BOUNGOU MAKOSSO Abraham</t>
  </si>
  <si>
    <t>Paiement salaire du mois de Février 2025/LOUNDOU JeanRomain/3654807</t>
  </si>
  <si>
    <t>Paiement salaire du mois de Février 2025/Crepin IBOUILI-IBOUILI</t>
  </si>
  <si>
    <t>Paiement salaire du mois de Février 2025/Merveille MAHANGA</t>
  </si>
  <si>
    <t>Paiement salaire du mois de Février 2025/Evariste LELOUSSI</t>
  </si>
  <si>
    <t>Reglement honoraire du mois de Février 2025/T73/3654813</t>
  </si>
  <si>
    <t>Reglement honoraire du mois de Février 2025/P29/3654814</t>
  </si>
  <si>
    <t>Reglement honoraire du mois de Février 2025/IT87/3654815</t>
  </si>
  <si>
    <t>Reglement honoraire du mois de Février 2025/G12/3654816</t>
  </si>
  <si>
    <t>Reglement Facture Gardiennage Mois de Février 2025/3654817</t>
  </si>
  <si>
    <t>Frais de virement salaire février 2025</t>
  </si>
  <si>
    <t>Acompte honoraire contrat N°64_Dolisie cas NZETSI BIMOKO et Consorts/Maitre Marie Hélène NANITELAMIO MALONGA</t>
  </si>
  <si>
    <t>RAPATRIEME01100 RAO00010768/CHENE</t>
  </si>
  <si>
    <t>RAPATRIEME01100 RAO00010768/OAT</t>
  </si>
  <si>
    <t>Paiement Honoraire Me LOCKO/Mois de Janvier 2025/3654793</t>
  </si>
  <si>
    <t>Paiement Honoraire Me LOCKO/Mois de Février 2025/3654820</t>
  </si>
  <si>
    <t>Paiement salaire du mois de Février 2025/Homéfa DOVI/3654812</t>
  </si>
  <si>
    <t>Virement fonds à CJ</t>
  </si>
  <si>
    <t>Frais de virement de fonds à CJ</t>
  </si>
  <si>
    <t>Paiement congé et jours travaillés en Mars 2025/Merveille MAHANGA</t>
  </si>
  <si>
    <t>Frais de virement salaire Mervielle Mars 2025</t>
  </si>
  <si>
    <t>Solde honoraire contrat N°81_Owando cas MONICK François/Maitre Marie Alain BAZOUNZI</t>
  </si>
  <si>
    <t>Acompte honoraire contrat N°82_Owando cas NGASSAKI Dany et ELOMBO Levy/Maitre Marie Alain BAZOUNZI</t>
  </si>
  <si>
    <t>Paiement salaire du mois de Mars 2025/Homéfa DOVI/3654835</t>
  </si>
  <si>
    <t>Paiement salaire du mois de Mars 2025/BAVOUMINA NZOUSSI Dina Parfaite/365831</t>
  </si>
  <si>
    <t>Paiement salaire du mois de Mars 2025/FOUMBA Roderlin/3654825</t>
  </si>
  <si>
    <t>Paiement salaire du mois de Mars 2025/BOUNGOU MAKOSSO Abraham/3654824</t>
  </si>
  <si>
    <t>Paiement salaire du mois de Mars 2025/LOUNDOU JeanRomain/3654832</t>
  </si>
  <si>
    <t>Paiement salaire du mois de Mars 2025/Crepin IBOUILI-IBOUILI</t>
  </si>
  <si>
    <t>Paiement salaire du mois de Mars 2025/Evariste LELOUSSI</t>
  </si>
  <si>
    <t>Paiement salaire du mois de Mars 2025/PINDI BINGA Donald- Roméo</t>
  </si>
  <si>
    <t>Frais de virement salaire du mois de Mars 2025</t>
  </si>
  <si>
    <t>Reglement honoraire du mois de Mars 2025/P29/3654837</t>
  </si>
  <si>
    <t>Reglement honoraire du mois de Mars 2025/G12/3654833</t>
  </si>
  <si>
    <t>Reglement honoraire du mois de Mars 2025/T73/3654829</t>
  </si>
  <si>
    <t>Reglement honoraire du mois de Mars 2025/IT87/3654827</t>
  </si>
  <si>
    <t>Reglement Facture Gardiennage Mois de Mars 2025/3654828</t>
  </si>
  <si>
    <t>BQ-M-G1</t>
  </si>
  <si>
    <t>BQ-M-G2</t>
  </si>
  <si>
    <t>BQ-M-G3</t>
  </si>
  <si>
    <t>BQ-M-R1</t>
  </si>
  <si>
    <t>BQ-M-R2</t>
  </si>
  <si>
    <t>BQ-M-R3</t>
  </si>
  <si>
    <t>BQ-M-R4</t>
  </si>
  <si>
    <t>BQ-M-R5</t>
  </si>
  <si>
    <t>BQ-M-R6</t>
  </si>
  <si>
    <t>BQ-M-R7</t>
  </si>
  <si>
    <t>BQ-M-R8</t>
  </si>
  <si>
    <t>BQ-M-R9</t>
  </si>
  <si>
    <t>BQ-M-R10</t>
  </si>
  <si>
    <t>BQ-M-R11</t>
  </si>
  <si>
    <t>BQ-M-R12</t>
  </si>
  <si>
    <t>BQ-M-R13</t>
  </si>
  <si>
    <t>BQ-M-R14</t>
  </si>
  <si>
    <t>BQ-M-R15</t>
  </si>
  <si>
    <t>BQ-M-R16</t>
  </si>
  <si>
    <t>BQ-M-R17</t>
  </si>
  <si>
    <t>BQ-M-R18</t>
  </si>
  <si>
    <t>BQ-M-R19</t>
  </si>
  <si>
    <t>BQ-M-R20</t>
  </si>
  <si>
    <t>BQ-M-R21</t>
  </si>
  <si>
    <t>BQ-M-R22</t>
  </si>
  <si>
    <t>BQ-M-R23</t>
  </si>
  <si>
    <t>BQ-M-R24</t>
  </si>
  <si>
    <t>BQ-M-R25</t>
  </si>
  <si>
    <t>BQ-M-R26</t>
  </si>
  <si>
    <t>BQ-M-R27</t>
  </si>
  <si>
    <t>BQ-M-R28</t>
  </si>
  <si>
    <t>BQ-M-R29</t>
  </si>
  <si>
    <t>DH-M-R2</t>
  </si>
  <si>
    <t>Fonds envoyés à un informateur</t>
  </si>
  <si>
    <t>DH-M-R3</t>
  </si>
  <si>
    <t>DH-M-R4</t>
  </si>
  <si>
    <t>Cumul frais de transport local du mois de Mars 2025/DOVI</t>
  </si>
  <si>
    <t>DH-M-D1</t>
  </si>
  <si>
    <t>Cumul frais de transport local du mois de Mars 2025/Merveille</t>
  </si>
  <si>
    <t>P-M-D1</t>
  </si>
  <si>
    <t>P29-M-R1</t>
  </si>
  <si>
    <t>P29-M-D1</t>
  </si>
  <si>
    <t>P29-M-R2</t>
  </si>
  <si>
    <t>Cumul frait de trust building du mois de Mars 2025/P29</t>
  </si>
  <si>
    <t>P29-M-D2</t>
  </si>
  <si>
    <t>P29-M-R3</t>
  </si>
  <si>
    <t>P29-M-R4</t>
  </si>
  <si>
    <t>P29-M-R5</t>
  </si>
  <si>
    <t>P29-M-R6</t>
  </si>
  <si>
    <t>P29-M-R7</t>
  </si>
  <si>
    <t>P29-M-R8</t>
  </si>
  <si>
    <t>P29-M-R9</t>
  </si>
  <si>
    <t>Cumul frait de transport du mois de Mars 2025/P29</t>
  </si>
  <si>
    <t>P29-M-D3</t>
  </si>
  <si>
    <t>versement</t>
  </si>
  <si>
    <t>payement frais d'inscription et mensuel pour la formation en anglais</t>
  </si>
  <si>
    <t>Team Building</t>
  </si>
  <si>
    <t>T73-M-R1</t>
  </si>
  <si>
    <t>T73-M-D1</t>
  </si>
  <si>
    <t>T73-M-R2</t>
  </si>
  <si>
    <t>T73-M-R3</t>
  </si>
  <si>
    <t>T73-M-R4</t>
  </si>
  <si>
    <t>T73-M-R5</t>
  </si>
  <si>
    <t>T73-M-R6</t>
  </si>
  <si>
    <t>T73-M-R7</t>
  </si>
  <si>
    <t>T73-M-R8</t>
  </si>
  <si>
    <t>T73-M-R9</t>
  </si>
  <si>
    <t>T73-M-R10</t>
  </si>
  <si>
    <t>Achat sim/T73</t>
  </si>
  <si>
    <t>T73-M-R11</t>
  </si>
  <si>
    <t>T73-M-D2</t>
  </si>
  <si>
    <t>T73-M-R12</t>
  </si>
  <si>
    <t>T73-M-R13</t>
  </si>
  <si>
    <t>T73-M-R14</t>
  </si>
  <si>
    <t>transport</t>
  </si>
  <si>
    <t>T73-M-R15</t>
  </si>
  <si>
    <t>T73-M-R16</t>
  </si>
  <si>
    <t>T73-M-R17</t>
  </si>
  <si>
    <t>T73-M-R18</t>
  </si>
  <si>
    <t>Cumul frais de trust building du mois de Mars 2025/T73</t>
  </si>
  <si>
    <t>T73-M-D3</t>
  </si>
  <si>
    <t>T73-M-R19</t>
  </si>
  <si>
    <t>T73-M-R20</t>
  </si>
  <si>
    <t>Cumul frais de transport local du mois de Mars 2025/T73</t>
  </si>
  <si>
    <t>T73-M-D4</t>
  </si>
  <si>
    <t>IT87-M-D1</t>
  </si>
  <si>
    <t>IT87-M-R1</t>
  </si>
  <si>
    <t>IT87-M-R2</t>
  </si>
  <si>
    <t>IT87-M-R3</t>
  </si>
  <si>
    <t>IT87-M-R4</t>
  </si>
  <si>
    <t>IT87-M-R5</t>
  </si>
  <si>
    <t>IT87-M-R6</t>
  </si>
  <si>
    <t>IT87-M-D2</t>
  </si>
  <si>
    <t>IT87-M-R7</t>
  </si>
  <si>
    <t>IT87-M-R8</t>
  </si>
  <si>
    <t>IT87-M-R9</t>
  </si>
  <si>
    <t>IT87-M-R10</t>
  </si>
  <si>
    <t>Cumul frais de trust building du mois de Mars 2025/IT87</t>
  </si>
  <si>
    <t>IT87-M-D3</t>
  </si>
  <si>
    <t>Cumul frais de transport local du mois de Mars 2025/IT87</t>
  </si>
  <si>
    <t>IT87-M-D4</t>
  </si>
  <si>
    <t>G12-M-R1</t>
  </si>
  <si>
    <t>G12-M-D1</t>
  </si>
  <si>
    <t>G12-M-D2</t>
  </si>
  <si>
    <t>G12-M-R2</t>
  </si>
  <si>
    <t>G12-M-R3</t>
  </si>
  <si>
    <t>G12-M-R4</t>
  </si>
  <si>
    <t>G12-M-R5</t>
  </si>
  <si>
    <t>Cumul transport local du mois de Mars 2025/G12</t>
  </si>
  <si>
    <t>G12-M-D3</t>
  </si>
  <si>
    <t>RM-M-D1</t>
  </si>
  <si>
    <t>RM-M-R1</t>
  </si>
  <si>
    <t>Achat Billet Brazzaville-Dolisie/Romain</t>
  </si>
  <si>
    <t>RM-M-R2</t>
  </si>
  <si>
    <t>ROMAIN-CONGO: Ration du 17 au 29 mars 2025 à Dolisie et Sibiti/ 12 Nuitées</t>
  </si>
  <si>
    <t>RM-M-D2</t>
  </si>
  <si>
    <t>RM-M-R3</t>
  </si>
  <si>
    <t>Achat du Billet Dolisie-Sibiti/Romain</t>
  </si>
  <si>
    <t>RM-M-R4</t>
  </si>
  <si>
    <t>Cumul frais de Jails visists du mois de Mars 2025/Romain</t>
  </si>
  <si>
    <t>RM-M-D3</t>
  </si>
  <si>
    <t>ROMAIN - CONGO Frais d'hotel du 17/03/ au 27/03/2025 à Dolisie (10 nuitées)</t>
  </si>
  <si>
    <t>RM-M-R5</t>
  </si>
  <si>
    <t>ROMAIN - CONGO Frais d'hotel du 27/03/ au 29/03/2025 à Sibiti(02 nuitées)</t>
  </si>
  <si>
    <t>RM-M-R6</t>
  </si>
  <si>
    <t>RM-M-R7</t>
  </si>
  <si>
    <t>Billet Nkayi-Brazzaville/Romain</t>
  </si>
  <si>
    <t>RM-M-R8</t>
  </si>
  <si>
    <t>RM-M-D4</t>
  </si>
  <si>
    <t>Achat billet Owando-Brazzaville(Trans bony)/Abraham</t>
  </si>
  <si>
    <t>AB-M-R1</t>
  </si>
  <si>
    <t>ABRAHAM - CONGO frais d'Hôtel (Hôtel Case Mbali) du 20/02/2025 au 01/03/2025 Owando (09Nuitées)</t>
  </si>
  <si>
    <t>AB-M-R2</t>
  </si>
  <si>
    <t>AB-M-R3</t>
  </si>
  <si>
    <t xml:space="preserve">ABRAHAM - CONGO Ration du 17/03/2025 au 26/03/2025 à Dolisie (09 Nuitées) </t>
  </si>
  <si>
    <t>AB-M-D1</t>
  </si>
  <si>
    <t>AB-M-R4</t>
  </si>
  <si>
    <t>Achat billet Dolisie-Brazzaville/Abraham</t>
  </si>
  <si>
    <t>AB-M-R5</t>
  </si>
  <si>
    <t>Cumul frais de Jails visits du mois de Mars 2025/Abraham</t>
  </si>
  <si>
    <t>AB-M-D2</t>
  </si>
  <si>
    <t>ABRAHAM - CONGO frais d'Hôtel (Hôtel La Gloire) du 17/03/2025 au 26/03/2025 Dolisie (09Nuitées)</t>
  </si>
  <si>
    <t>AB-M-R6</t>
  </si>
  <si>
    <t>Cumul frais de transport local du mois de Mars 2025/Abraham</t>
  </si>
  <si>
    <t>AB-M-D3</t>
  </si>
  <si>
    <t>Achat billet Brazzaville-Owando/Roderlin</t>
  </si>
  <si>
    <t>RO-M-R1</t>
  </si>
  <si>
    <t>RODERLIN-CONGO Ration du 19 au 22/03/2025 à Owando (03 nuitées)</t>
  </si>
  <si>
    <t>RO-M-D1</t>
  </si>
  <si>
    <t>RO-M-R2</t>
  </si>
  <si>
    <t>RODERLIN-CONGO frais d'hôtel du 19 au 22/03/2025 à Owando (03 nuitées)</t>
  </si>
  <si>
    <t>RO-M-R3</t>
  </si>
  <si>
    <t>RO-M-D2</t>
  </si>
  <si>
    <t>Achat billet Brazzaville-Dolisie/Donald-Roméo</t>
  </si>
  <si>
    <t>DR-M-R1</t>
  </si>
  <si>
    <t>Ration  du  17/03/ au 05/04/2025 à Dolisie</t>
  </si>
  <si>
    <t>DR-M-D1</t>
  </si>
  <si>
    <t>Achat carburant BJ OP</t>
  </si>
  <si>
    <t>DR-M-R2</t>
  </si>
  <si>
    <t>DR-M-R3</t>
  </si>
  <si>
    <t>Frais d'impression de la procédure de la gendarmerie</t>
  </si>
  <si>
    <t>DR-M-R4</t>
  </si>
  <si>
    <t>Cumul frais de Jails visits du mois de Mars 2025/Donald-Romeo</t>
  </si>
  <si>
    <t>DR-M-D2</t>
  </si>
  <si>
    <t>Cumul frais de transport local du mois de Mars 2025/Donald-Romeo</t>
  </si>
  <si>
    <t>DR-M-D3</t>
  </si>
  <si>
    <t>EV-M-R1</t>
  </si>
  <si>
    <t>EVARISTE - CONGO Ration du 17 au 26 mars 2025  à Dolisie/09 Nuitées</t>
  </si>
  <si>
    <t>EV-M-D1</t>
  </si>
  <si>
    <t>EV-M-R2</t>
  </si>
  <si>
    <t>EVARISTE - CONGO Frais de l'hôtel du 17 au 26 mars 2025 à Dolisie (09 Nuitées)</t>
  </si>
  <si>
    <t>EV-M-R3</t>
  </si>
  <si>
    <t>Achat Billet  Dolisie-Brazzaville/Evariste</t>
  </si>
  <si>
    <t>EV-M-R4</t>
  </si>
  <si>
    <t>EV-M-D2</t>
  </si>
  <si>
    <t xml:space="preserve">CREPIN - CONGO Hébergement à l'hôtel Case Mbali d'Owando, 05 Nuitées du 24/02/ au 01/03/2025 </t>
  </si>
  <si>
    <t>CREPIN - CONGO Ration du du 05 au 08/03/2025  03 Nuitées  à Owando(03 Nuitées)</t>
  </si>
  <si>
    <t>CR-M-D1</t>
  </si>
  <si>
    <t xml:space="preserve">CREPIN-IBOULI CONGO Hébergement à l'hôtel Case Mbali d'Owando, 07 Nuitées du  01 au 08/03/2025 </t>
  </si>
  <si>
    <t>Billet: Owando-Brazaville/Crepin</t>
  </si>
  <si>
    <t>Billet: Brazzaville-Dolisie/Crépin</t>
  </si>
  <si>
    <t>CREPIN - CONGO Ration  du 17/03/ au 05/04/2025 à Dolisie(19 Nuitées)</t>
  </si>
  <si>
    <t>CR-M-D2</t>
  </si>
  <si>
    <t>CREPIN - CONGO  Frais d'hôtel à Dolisie du 17 au 19/03/2025, 02 Nuitées</t>
  </si>
  <si>
    <t>Raffraichissement et plats pendant l'attente de l'opération</t>
  </si>
  <si>
    <t>Bonus de 18 gendarmes pour l'opération du 22/03/2025 à Dolisie</t>
  </si>
  <si>
    <t>Bonus de 02 EF pour l'opération du 22/03/2025 à Dolisie</t>
  </si>
  <si>
    <t>Bonus pour 12 Policiers ayant effectué le transferèment de Moussa Grâce de Mossendjo à Dolisie</t>
  </si>
  <si>
    <t>Ration pour 12 policiers moyennant 5000 par policier ayant effectué le transferèment de Mossendjo à Dolisie</t>
  </si>
  <si>
    <t>Carburant aller de la BJ Mossendjo-Dolisie pour le transferèment</t>
  </si>
  <si>
    <t>Carburant retour de la BJ Dolisie-Mossendjo apès le transferèment</t>
  </si>
  <si>
    <t>Cumul frais de transport local du mois de Mars 2025/CREPIN</t>
  </si>
  <si>
    <t>M-M-D1</t>
  </si>
  <si>
    <t>BQ-M-R30</t>
  </si>
  <si>
    <t>BQ-M-R32</t>
  </si>
  <si>
    <t>BQ-M-R33</t>
  </si>
  <si>
    <t>BQ-M-R34</t>
  </si>
  <si>
    <t>BQ-M-R35</t>
  </si>
  <si>
    <t>BQ-M-R36</t>
  </si>
  <si>
    <t>UE</t>
  </si>
  <si>
    <t>OAT</t>
  </si>
  <si>
    <t>CR-M-R1</t>
  </si>
  <si>
    <t>CR-M-R2</t>
  </si>
  <si>
    <t>CR-M-R3</t>
  </si>
  <si>
    <t>CR-M-R4</t>
  </si>
  <si>
    <t>CR-M-R5</t>
  </si>
  <si>
    <t>CR-M-R6</t>
  </si>
  <si>
    <t>CR-M-R7</t>
  </si>
  <si>
    <t>CR-M-R8</t>
  </si>
  <si>
    <t>CR-M-R9</t>
  </si>
  <si>
    <t>CR-M-R10</t>
  </si>
  <si>
    <t>CR-M-R11</t>
  </si>
  <si>
    <t>CR-M-R12</t>
  </si>
  <si>
    <t>CR-M-D3</t>
  </si>
  <si>
    <t>Achat eau mineral 16 Litres/Bureau</t>
  </si>
  <si>
    <t>Reparation de court -circuit électrique du bureau</t>
  </si>
  <si>
    <t xml:space="preserve">Achat 10 ampoules pour le bureau </t>
  </si>
  <si>
    <t xml:space="preserve">Bonus à un informateur en RDC </t>
  </si>
  <si>
    <t xml:space="preserve">ROMAIN-CONGO Ration du 04 au 08/03/2025 à Owando (04 Nuitées) </t>
  </si>
  <si>
    <t>ROMAIN - CONGO Frais d'hotel du 25/02/au 08/03/2025 à Owando</t>
  </si>
  <si>
    <t>Billet Brazzaville-Dolisie/Abraham</t>
  </si>
  <si>
    <t xml:space="preserve">Achat billet Brazzaville-Dolisie/Evariste </t>
  </si>
  <si>
    <t xml:space="preserve">Frais de transport mission maitre Marie Helène à Owando du 19 au 22/03/2025 suivi audience cas EBI </t>
  </si>
  <si>
    <t xml:space="preserve">Ration et Frais d'hôtel  mission maitre Marie Helène à Owando du 19 au 22/03/2025 suivi audience cas EBI </t>
  </si>
  <si>
    <t>Frais de transport mission à Dolisie de maitre BANZOUZI Alain du 25/03/ au 05/04/2025 suivi audience</t>
  </si>
  <si>
    <t xml:space="preserve">Cumul frais de transport local du mois de Mars  2025 /Evariste </t>
  </si>
  <si>
    <t xml:space="preserve">Billet SIBITI- Nkayi/Romain </t>
  </si>
  <si>
    <t>Cumul frais de transfert local du mois de Mars 2025/Parfaite</t>
  </si>
  <si>
    <t xml:space="preserve">Cumul frais de transport local du mois de Mars 2025/Roderlin </t>
  </si>
  <si>
    <t xml:space="preserve">Cumul trust building du mois de Mars 2025/G12 </t>
  </si>
  <si>
    <t xml:space="preserve">Achat produit d'entretien lait,sucre,javel,papier toilette,sucre,café/Bureau PALF </t>
  </si>
  <si>
    <t>Office Materials</t>
  </si>
  <si>
    <t>Règlement loyer du mois d'Avril 2025/DOVI/Coordinateur PALF</t>
  </si>
  <si>
    <t>DH-A-R1</t>
  </si>
  <si>
    <t>Cumul frais de transport local du mois d'Avril 2025/DOVI</t>
  </si>
  <si>
    <t>DH-A-D1</t>
  </si>
  <si>
    <t>CREPIN -CONGO Fais l'hôtel du 22/03/ au 05/04/2025 à Dolisie (14 nuitées)</t>
  </si>
  <si>
    <t>CR-A-R1</t>
  </si>
  <si>
    <t>Achat billet Dolisie-Brazzaville/Crépin</t>
  </si>
  <si>
    <t>CR-A-R2</t>
  </si>
  <si>
    <t>Achat billet Brazzaville-Madingou/Crépin</t>
  </si>
  <si>
    <t>CR-A-R3</t>
  </si>
  <si>
    <t>CREPIN-CONGO Ration du 11 au 18/04/2025 à Madingou</t>
  </si>
  <si>
    <t>CR-A-D1</t>
  </si>
  <si>
    <t>CREPIN-CONGO Frais l'hôtel  du 11 au 13/04/2025 à Madingou(02 Nuitées)</t>
  </si>
  <si>
    <t>CR-A-R4</t>
  </si>
  <si>
    <t>Achat billet Madingou-Brazzaville/Crepin</t>
  </si>
  <si>
    <t>CR-A-R5</t>
  </si>
  <si>
    <t>CR-A-D2</t>
  </si>
  <si>
    <t>Cumul frais de transport local du mois d'Avril 2025/Crépin</t>
  </si>
  <si>
    <t>CA-A-R10</t>
  </si>
  <si>
    <t>CA-A-R33</t>
  </si>
  <si>
    <t>CA-A-R39</t>
  </si>
  <si>
    <t>Frais de nettoyage caniveau bureau PALF</t>
  </si>
  <si>
    <t>CA-A-D15</t>
  </si>
  <si>
    <t>Achat credit  teléphonique MTN/PALF/Première partie du mois d'Avril 2025/Management</t>
  </si>
  <si>
    <t>CA-A-R3</t>
  </si>
  <si>
    <t>Achat credit  teléphonique MTN/PALF/Première partie du mois d'Avril 2025/Legal</t>
  </si>
  <si>
    <t>CA-A-R4</t>
  </si>
  <si>
    <t>Achat credit  teléphonique MTN/PALF/Première partie du mois d'Avril 2025/Investigation</t>
  </si>
  <si>
    <t>CA-A-R5</t>
  </si>
  <si>
    <t>Achat credit  teléphonique MTN/PALF/Première partie du mois d'Avril 2025/Media</t>
  </si>
  <si>
    <t>CA-A-R6</t>
  </si>
  <si>
    <t>Achat credit  teléphonique Airtel/PALF/Première partie du mois d'Avril 2025/Legal</t>
  </si>
  <si>
    <t>CA-A-R7</t>
  </si>
  <si>
    <t>Achat credit  teléphonique Airtel/PALF/Première partie du mois d'Avril 2025/Investigation</t>
  </si>
  <si>
    <t>CA-A-R8</t>
  </si>
  <si>
    <t>Achat credit  teléphonique Airtel/PALF/Première partie du mois d'Avril 2025/Media</t>
  </si>
  <si>
    <t>CA-A-R9</t>
  </si>
  <si>
    <t>Bonus du mois de Mars 2025/Crepin</t>
  </si>
  <si>
    <t>CA-A-D2</t>
  </si>
  <si>
    <t>Bonus operation du 22/03/2025 à Dolisie/Crepin</t>
  </si>
  <si>
    <t>CA-A-D3</t>
  </si>
  <si>
    <t>Bonus du mois de Mars 2025/Parfaite</t>
  </si>
  <si>
    <t>CA-A-D4</t>
  </si>
  <si>
    <t>Bonus du mois de Mars 2025/Romain</t>
  </si>
  <si>
    <t>CA-A-D5</t>
  </si>
  <si>
    <t>Bonus du mois de Mars 2025/Donal-Roméo</t>
  </si>
  <si>
    <t>CA-A-D6</t>
  </si>
  <si>
    <t>Bonus du mois de Mars 2025/Abraham</t>
  </si>
  <si>
    <t>CA-A-D7</t>
  </si>
  <si>
    <t>Bonus du mois de Mars 2025/Roderlin</t>
  </si>
  <si>
    <t>CA-A-D8</t>
  </si>
  <si>
    <t>Bonus du mois de Mars 2025/Evariste</t>
  </si>
  <si>
    <t>CA-A-D9</t>
  </si>
  <si>
    <t>Bonus opération du 22/03/2025 à Dolisie/Donald-Roméo</t>
  </si>
  <si>
    <t>CA-A-D10</t>
  </si>
  <si>
    <t>Bonus opération du 22/03/2025 à Dolisie/Romain</t>
  </si>
  <si>
    <t>CA-A-D11</t>
  </si>
  <si>
    <t>Bonus opération du 22/03/2025 à Dolisie/Abraham</t>
  </si>
  <si>
    <t>CA-A-D12</t>
  </si>
  <si>
    <t>Bonus opération du 22/03/2025 à Dolisie/Evariste</t>
  </si>
  <si>
    <t>CA-A-D13</t>
  </si>
  <si>
    <t>Bonus du mois de Mars 2025/Merveille</t>
  </si>
  <si>
    <t>CA-A-D14</t>
  </si>
  <si>
    <t>CA-A-R18</t>
  </si>
  <si>
    <t>Règlement facture d'eau du mois de Janv, Fév, Mars, Avril  2025 bureau PALF</t>
  </si>
  <si>
    <t>CA-A-R24</t>
  </si>
  <si>
    <t>CA-A-R25</t>
  </si>
  <si>
    <t>Achat credit  teléphonique MTN/PALF/Deuxième partie du mois d'Avril2025/Management</t>
  </si>
  <si>
    <t>CA-A-R26</t>
  </si>
  <si>
    <t>Achat credit  teléphonique MTN/PALF/Deuxième partie du mois d'Avril 2025/Legal</t>
  </si>
  <si>
    <t>CA-A-R27</t>
  </si>
  <si>
    <t>Achat credit  teléphonique MTN/PALF/Deuxième partie du mois d'Avril 2025/Investigation</t>
  </si>
  <si>
    <t>CA-A-R28</t>
  </si>
  <si>
    <t>Achat credit  teléphonique MTN/PALF/deuxième partie du mois d'Avril 2025/Media</t>
  </si>
  <si>
    <t>CA-A-R29</t>
  </si>
  <si>
    <t>Achat credit  teléphonique Airtel/PALF/Deuxième partie du mois d'Avril 2025/Legal</t>
  </si>
  <si>
    <t>CA-A-R30</t>
  </si>
  <si>
    <t>Achat credit  teléphonique Airtel/PALF/Deuxième partie du mois d'Avril 2025/Investigation</t>
  </si>
  <si>
    <t>CA-A-R31</t>
  </si>
  <si>
    <t>Frais de carte de travail Donald-roméo</t>
  </si>
  <si>
    <t>CA-A-R36</t>
  </si>
  <si>
    <t xml:space="preserve"> frais de ramassage Ordure Avril 2025</t>
  </si>
  <si>
    <t>CA-A-R38</t>
  </si>
  <si>
    <t xml:space="preserve"> Frais de prestation de nettoyage jardin PALF Avril 2025</t>
  </si>
  <si>
    <t>CA-A-R45</t>
  </si>
  <si>
    <t>CA-A-R46</t>
  </si>
  <si>
    <t>Cumul frais de transport local du mois d'Avril 2025/ Parfaite</t>
  </si>
  <si>
    <t>P-A-D1</t>
  </si>
  <si>
    <t>Reglement facture internet periode du 01/05 au 31/05/2025 bureau PALF</t>
  </si>
  <si>
    <t>CA-A-R48</t>
  </si>
  <si>
    <t>Team building à l'occassion du 1er Mai 2025</t>
  </si>
  <si>
    <t>CA-A-R49</t>
  </si>
  <si>
    <t>T73-A-R1</t>
  </si>
  <si>
    <t>T73-A-R2</t>
  </si>
  <si>
    <t>T73-A-D1</t>
  </si>
  <si>
    <t>T73-A-R3</t>
  </si>
  <si>
    <t>T73-A-R4</t>
  </si>
  <si>
    <t>T73-A-R5</t>
  </si>
  <si>
    <t>T73-A-R6</t>
  </si>
  <si>
    <t>T73-A-R7</t>
  </si>
  <si>
    <t>T73-A-R8</t>
  </si>
  <si>
    <t>Cumul frais de trust building du mois d'Avril 2025/T73</t>
  </si>
  <si>
    <t>T73-A-D2</t>
  </si>
  <si>
    <t>Cumul frais de transport local du mois d'Avril 2025/T73</t>
  </si>
  <si>
    <t>T73-A-D3</t>
  </si>
  <si>
    <t>IT87-A-R1</t>
  </si>
  <si>
    <t>IT87-A-D1</t>
  </si>
  <si>
    <t>Cumul frais de trust building du mois d'Avril 2025/IT87</t>
  </si>
  <si>
    <t>IT87-A-D2</t>
  </si>
  <si>
    <t>IT87-A-R2</t>
  </si>
  <si>
    <t>IT87-A-R3</t>
  </si>
  <si>
    <t>Cumul frais de transport local du mois d'Avril 2025/IT87</t>
  </si>
  <si>
    <t>IT87-A-D3</t>
  </si>
  <si>
    <t>Paiement  frais d'inscription et mensuel de la formation en informatique</t>
  </si>
  <si>
    <t>G12-A-R1</t>
  </si>
  <si>
    <t>G12-A-R2</t>
  </si>
  <si>
    <t>G12-A-D1</t>
  </si>
  <si>
    <t>G12-A-R3</t>
  </si>
  <si>
    <t>G12-A-R4</t>
  </si>
  <si>
    <t>G12-A-R5</t>
  </si>
  <si>
    <t>G12-A-R6</t>
  </si>
  <si>
    <t>G12-A-R7</t>
  </si>
  <si>
    <t>G12-A-R8</t>
  </si>
  <si>
    <t>G12-A-R9</t>
  </si>
  <si>
    <t>G12-A-R10</t>
  </si>
  <si>
    <t>Frais de transfert d'argent à crépin, Evarste,  romain, roderlin et donald-roméo</t>
  </si>
  <si>
    <t>CA-A-R32</t>
  </si>
  <si>
    <t>Cumul frais de trust building du mois d'Avril 2025/G12</t>
  </si>
  <si>
    <t>G12-A-D2</t>
  </si>
  <si>
    <t>Cumul frais de transport local du mois d'Avril 2025/G12</t>
  </si>
  <si>
    <t>G12-A-D3</t>
  </si>
  <si>
    <t>Achat billet Brazzaville-Pointe Noire/Romain</t>
  </si>
  <si>
    <t>RM-A-R1</t>
  </si>
  <si>
    <t>RM-A-D1</t>
  </si>
  <si>
    <t>Cumul frais de jail visit du mois d'Avril 2025/Romain</t>
  </si>
  <si>
    <t>RM-A-D2</t>
  </si>
  <si>
    <t>Achat  billet Pointe Noire-Madingou/Romain</t>
  </si>
  <si>
    <t>RM-A-R2</t>
  </si>
  <si>
    <t>RM-A-R3</t>
  </si>
  <si>
    <t>Achat billet Madingou-Brazzaville/Romain</t>
  </si>
  <si>
    <t>RM-A-R4</t>
  </si>
  <si>
    <t>RM-A-R5</t>
  </si>
  <si>
    <t>Cumul frais de transport local du mois d'Avril 2025/Romain</t>
  </si>
  <si>
    <t>RM-A-D3</t>
  </si>
  <si>
    <t>Achat billet Brazzaville-Owando/Abraham</t>
  </si>
  <si>
    <t>AB-A-R1</t>
  </si>
  <si>
    <t xml:space="preserve">ABRAHAM - CONGO Ration du 16 au 18/04/2025 à Owando (02 Nuitées) </t>
  </si>
  <si>
    <t>AB-A-D1</t>
  </si>
  <si>
    <t>Achat billet Owando-Brazzaville/Abraham</t>
  </si>
  <si>
    <t>AB-A-R2</t>
  </si>
  <si>
    <t>ABRAHAM - CONGO Frais d'Hôtel du 16 au 17/04/2025 à Owando (02 Nuitées)</t>
  </si>
  <si>
    <t>AB-A-R3</t>
  </si>
  <si>
    <t>Cumul frais de transport local du mois d'Avril 2025/Abraham</t>
  </si>
  <si>
    <t>AB-A-D2</t>
  </si>
  <si>
    <t>CA-A-R13</t>
  </si>
  <si>
    <t>Frais de transport mission Maitre Alain à Sibiti du 10 au 12/04/2025</t>
  </si>
  <si>
    <t>CA-A-R14</t>
  </si>
  <si>
    <t>CA-A-R15</t>
  </si>
  <si>
    <t>Frais de transfert d'argent à Romain, Donald, Roderlin,  P29 et IT87</t>
  </si>
  <si>
    <t>CA-A-R17</t>
  </si>
  <si>
    <t>Frais de transfert d'argent à Crépin, Evarste,  P29 et IT87</t>
  </si>
  <si>
    <t>CA-A-R19</t>
  </si>
  <si>
    <t>Frais de transport mission Maitre Alain à Owando du 16 au 18/04/2025</t>
  </si>
  <si>
    <t>CA-A-R20</t>
  </si>
  <si>
    <t>Ration et frais d'hotel mission maitre Alain à Owando du 16 au 18/04/2025</t>
  </si>
  <si>
    <t>CA-A-R21</t>
  </si>
  <si>
    <t>Frais de transport mission Maitre Hélene à Owando du 16 au 18/04/2025</t>
  </si>
  <si>
    <t>CA-A-R22</t>
  </si>
  <si>
    <t>Ration et frais d'hotel mission maitre Hélene à Owando du 16 au 18/04/2025</t>
  </si>
  <si>
    <t>CA-A-R23</t>
  </si>
  <si>
    <t>CA-A-R35</t>
  </si>
  <si>
    <t>Achat billet Brazzaville-Owando/ Roderlin</t>
  </si>
  <si>
    <t>RO-A-R1</t>
  </si>
  <si>
    <t>Frais de transport mission Maitre Hélene à Owando du 02 au 04/04/2025</t>
  </si>
  <si>
    <t>CA-A-R1</t>
  </si>
  <si>
    <t>Ration et frais d'hotel mission maitre Hélene à Owando du 02au 04/04/2025</t>
  </si>
  <si>
    <t>CA-A-R2</t>
  </si>
  <si>
    <t>RO-A-D1</t>
  </si>
  <si>
    <t>Achat billet Owando- Brazzaville / Roderlin</t>
  </si>
  <si>
    <t>RO-A-R2</t>
  </si>
  <si>
    <t>RO-A-R3</t>
  </si>
  <si>
    <t>CA-A-R11</t>
  </si>
  <si>
    <t>CA-A-R12</t>
  </si>
  <si>
    <t>Achat billet Brazzaville-Loudima / Roderlin</t>
  </si>
  <si>
    <t>RO-A-R4</t>
  </si>
  <si>
    <t>Achat billet Loudima-Sibiti/ Roderlin</t>
  </si>
  <si>
    <t>RO-A-R5</t>
  </si>
  <si>
    <t>RO-A-D2</t>
  </si>
  <si>
    <t>Cumul frais de jail visit du mois d'Avril 2025/Roderlin</t>
  </si>
  <si>
    <t>RO-A-D3</t>
  </si>
  <si>
    <t>RO-A-R6</t>
  </si>
  <si>
    <t>Achat billet Sibiti-Nkayi/ Roderlin</t>
  </si>
  <si>
    <t>RO-A-R7</t>
  </si>
  <si>
    <t>Achat billet Nkayi-Madingou/Roderlin</t>
  </si>
  <si>
    <t>RO-A-R8</t>
  </si>
  <si>
    <t>Achat billet Madingou-Brazzaville/ Roderlin</t>
  </si>
  <si>
    <t>RO-A-R9</t>
  </si>
  <si>
    <t>RO-A-R10</t>
  </si>
  <si>
    <t>CA-A-R34</t>
  </si>
  <si>
    <t>Frais de transport mission Maitre Alain à Owando du 28 au 30/04/2025</t>
  </si>
  <si>
    <t>CA-A-R40</t>
  </si>
  <si>
    <t>Ration et frais d'hotel mission maitre Alain à Owando du 28 au 30/04/2025</t>
  </si>
  <si>
    <t>CA-A-R41</t>
  </si>
  <si>
    <t>Frais de transport mission Maitre Hélene à Owando du 28 au 30/04/2025</t>
  </si>
  <si>
    <t>CA-A-R42</t>
  </si>
  <si>
    <t>Ration et frais d'hotel mission maitre Hélene à Owando du 28 au 30/04/2025</t>
  </si>
  <si>
    <t>CA-A-R43</t>
  </si>
  <si>
    <t>CA-A-R44</t>
  </si>
  <si>
    <t>RO-A-R11</t>
  </si>
  <si>
    <t>RO-A-D4</t>
  </si>
  <si>
    <t>Court fees</t>
  </si>
  <si>
    <t>RO-A-R12</t>
  </si>
  <si>
    <t>RO-A-R13</t>
  </si>
  <si>
    <t>RO-A-R14</t>
  </si>
  <si>
    <t>Cumul frais de transport local du mois d'Avril 2025/Roderlin</t>
  </si>
  <si>
    <t>RO-A-D5</t>
  </si>
  <si>
    <t>Achat billet Dolisie-Brazzaville/ Donald-Roméo</t>
  </si>
  <si>
    <t>DR-A-R1</t>
  </si>
  <si>
    <t>DONALD ROMEO- CONGO Frais d'hôtel  du 17/03/ au 05/04/2025 à Dolisie (19 Nuitées)</t>
  </si>
  <si>
    <t>DR-A-R2</t>
  </si>
  <si>
    <t>Achat billet Brazzaville- Pointe Noire/ Donald-Roméo</t>
  </si>
  <si>
    <t>DR-A-R3</t>
  </si>
  <si>
    <t>DONALD ROMEO-CONGO Ration  du  09 au 18/04/2025 à Pointe-Noire et Madingou</t>
  </si>
  <si>
    <t>DR-A-D1</t>
  </si>
  <si>
    <t>Achat billet Pointe Noire- Madingou/ Donald-Roméo</t>
  </si>
  <si>
    <t>DR-A-R4</t>
  </si>
  <si>
    <t>DONALD ROMEO-CONGO Frais d'hôtel du 09 au 11/04/2025 à Pointe-Noire (02 Nuitées)</t>
  </si>
  <si>
    <t>DR-A-R5</t>
  </si>
  <si>
    <t>Achat billet Madingou-Brazzaville/ Donald-Roméo</t>
  </si>
  <si>
    <t>DR-A-R6</t>
  </si>
  <si>
    <t>DONALD ROMEO- CONGO Frais d'hôtel du  11 au 18/04/2025 à Madingou (07 Nuitées)</t>
  </si>
  <si>
    <t>DR-A-R7</t>
  </si>
  <si>
    <t>Achat billet Brazzaville-Owando/ Donald-Roméo</t>
  </si>
  <si>
    <t>DR-A-R8</t>
  </si>
  <si>
    <t>DONALD ROMEO- CONGO Ration  du  28 au 30/04/2025 à Owando</t>
  </si>
  <si>
    <t>DR-A-D2</t>
  </si>
  <si>
    <t>Achat billet Owando-Brazzaville/ Donald-Roméo</t>
  </si>
  <si>
    <t>DR-A-R9</t>
  </si>
  <si>
    <t>DONALD ROMEO- CONGO Frais d'hôtel du  28 au 30/04/2025 à Owando (02 Nuitées)</t>
  </si>
  <si>
    <t>DR-A-R10</t>
  </si>
  <si>
    <t>Cumul frais de transport local du mois d'Avril 2025/ Donald-Romeo</t>
  </si>
  <si>
    <t>DR-A-D3</t>
  </si>
  <si>
    <t>Achat billet Brazzaville-Madingou/Evariste</t>
  </si>
  <si>
    <t>EV-A-R1</t>
  </si>
  <si>
    <t>EV-A-D1</t>
  </si>
  <si>
    <t>Achat Billet Madingou-Brazzaville/Evariste</t>
  </si>
  <si>
    <t>EV-A-R2</t>
  </si>
  <si>
    <t>EV-A-R3</t>
  </si>
  <si>
    <t>Cumul frais de transport local du mois d'Avril 2025/Evariste</t>
  </si>
  <si>
    <t>EV-A-D2</t>
  </si>
  <si>
    <t>Bonus media portant sur l'interpellation de 2 Présumés trafiquants le 04/04/205 à Dolisie</t>
  </si>
  <si>
    <t>CA-A-D1</t>
  </si>
  <si>
    <t>CA-A-R16</t>
  </si>
  <si>
    <t>CA-A-R37</t>
  </si>
  <si>
    <t xml:space="preserve">Bonus media portant sur l'annonce de l'audience du 29 Avril 2025 au tribunal de gande instance d'Owado </t>
  </si>
  <si>
    <t>CA-A-D16</t>
  </si>
  <si>
    <t>Frais de l'avis de recrutement  investigateurs dans le depeches de Brazzaville</t>
  </si>
  <si>
    <t>CA-A-R47</t>
  </si>
  <si>
    <t>Reason for Difference: Transfert charden farell</t>
  </si>
  <si>
    <t>Paiement Honoraire Me LOCKO/Mois de Mars 2025/3654840</t>
  </si>
  <si>
    <t>Acompte honoraire contrat n°83 Dolisie cas NDOHO et NGOMA/ Maître BANZOUZI Alain/3654850</t>
  </si>
  <si>
    <t>Paiement CNSS premier trimestre/Janvier,Février et Mars 2025/Crepin /3654848</t>
  </si>
  <si>
    <t>Paiement CNSS premier trimestre/Janvier,Février et Mars 2025/Donald-Roméo/3654848</t>
  </si>
  <si>
    <t>Paiement CNSS premier trimestre/Janvier,Février et Mars 2025/Romain/3654848</t>
  </si>
  <si>
    <t>Paiement CNSS premier trimestre/Janvier,Février et Mars 2025/Roderlin/3654848</t>
  </si>
  <si>
    <t>Paiement CNSS premier trimestre/Janvier,Février et Mars 2025/Abraham/3654848</t>
  </si>
  <si>
    <t>Paiement CNSS premier trimestre/Janvier,Février et Mars 2025/Parfaite/3654848</t>
  </si>
  <si>
    <t>Paiement CNSS premier trimestre/Janvier,Février et Mars 2025/Merveille/3654848</t>
  </si>
  <si>
    <t>Paiement CNSS premier trimestre/Janvier,Février et Mars 2025/Evariste/3654848</t>
  </si>
  <si>
    <t>Reglement honoraire du mois d'Avril 2025/IT87/3654843</t>
  </si>
  <si>
    <t>Paiement salaire du mois d'Avril 2025/Crepin IBOUILI-IBOUILI</t>
  </si>
  <si>
    <t>Paiement salaire du mois d'Avril 2025/Evariste LELOUSSI/3654857</t>
  </si>
  <si>
    <t>Paiement salaire du mois d'Avril 2025/PINDI BINGA Donald- Roméo</t>
  </si>
  <si>
    <t>Reglement loyer du mois d'Avril 2025/3654847</t>
  </si>
  <si>
    <t>Reglement honoraire du mois de d'Avril 2025/P29/3654846</t>
  </si>
  <si>
    <t>Reglement honoraire du mois d'Avril 2025/G12/3654859</t>
  </si>
  <si>
    <t>Reglement honoraire du mois d'Avril 2025/T73/365482960</t>
  </si>
  <si>
    <t>RAPATRIEME01100NRAO00010782</t>
  </si>
  <si>
    <t>BQ-A-R1</t>
  </si>
  <si>
    <t>BQ-A-R2</t>
  </si>
  <si>
    <t>BQ-A-R3</t>
  </si>
  <si>
    <t>BQ-A-R4</t>
  </si>
  <si>
    <t>BQ-A-R5</t>
  </si>
  <si>
    <t>BQ-A-R6</t>
  </si>
  <si>
    <t>BQ-A-R7</t>
  </si>
  <si>
    <t>BQ-A-R8</t>
  </si>
  <si>
    <t>BQ-A-R9</t>
  </si>
  <si>
    <t>BQ-A-R10</t>
  </si>
  <si>
    <t>BQ-A-R11</t>
  </si>
  <si>
    <t>BQ-A-R12</t>
  </si>
  <si>
    <t>BQ-A-R13</t>
  </si>
  <si>
    <t>BQ-A-R14</t>
  </si>
  <si>
    <t>BQ-A-R15</t>
  </si>
  <si>
    <t>BQ-A-R16</t>
  </si>
  <si>
    <t>BQ-A-R17</t>
  </si>
  <si>
    <t>BQ-A-R18</t>
  </si>
  <si>
    <t>BQ-A-R19</t>
  </si>
  <si>
    <t>BQ-A-R20</t>
  </si>
  <si>
    <t>BQ-A-R21</t>
  </si>
  <si>
    <t>BQ-A-R22</t>
  </si>
  <si>
    <t>BQ-A-R23</t>
  </si>
  <si>
    <t>BQ-A-R24</t>
  </si>
  <si>
    <t>BQ-A-R25</t>
  </si>
  <si>
    <t>BQ-A-G1</t>
  </si>
  <si>
    <t>Paiement Honoraire Me LOCKO/Mois d'Avril 2025/3654856</t>
  </si>
  <si>
    <t>Paiement salaire du mois d'Avril 2025/LOUNDOU JeanRomain/3654853</t>
  </si>
  <si>
    <t>P29-A-R1</t>
  </si>
  <si>
    <t>P29-A-D1</t>
  </si>
  <si>
    <t>P29-A-R2</t>
  </si>
  <si>
    <t>P29-A-R3</t>
  </si>
  <si>
    <t>P29-A-R4</t>
  </si>
  <si>
    <t>P29-A-R5</t>
  </si>
  <si>
    <t>Cumul frais de frais de transport local du mois d'Avril 2025/P29</t>
  </si>
  <si>
    <t>P29-A-D2</t>
  </si>
  <si>
    <t>Cumul frais de trust building du mois d'Avril 2025/P29</t>
  </si>
  <si>
    <t>P29-A-D3</t>
  </si>
  <si>
    <t>Frais de virement salaire du mois d'avril 2025</t>
  </si>
  <si>
    <t>Ration et frais d'hôtel mission maitre Alain à Sibiti du 10 au 12/04/2025</t>
  </si>
  <si>
    <t>Romain- CONGO  Ration du 09 au 18/04/2025 à Pointe Noire,  Madingou</t>
  </si>
  <si>
    <t>Romain-CONGO Frais  d'Hôtel du 09 au 11/04/2025 à Pointe-Noire (02 nuitées)</t>
  </si>
  <si>
    <t>Romain- CONGO Frais  d'Hôtel du 11 au 18/04//2025 à Madingou  (07 nuités)</t>
  </si>
  <si>
    <t>Evariste-CONGO Ration du 11 au 18 Avril 2025 à Madingou</t>
  </si>
  <si>
    <t>Evariste-CONGO Frais de l'hôtel du 11 au 18 Avril 2025 à Madingou ( 7 nuitées)</t>
  </si>
  <si>
    <t>Frais d'impression sur bâche</t>
  </si>
  <si>
    <t>Déjeûner des agents du PALF</t>
  </si>
  <si>
    <t>Paiement frais de formation mensuel/formation en anglais</t>
  </si>
  <si>
    <t xml:space="preserve">Roderlin-CONGO Ration du 10 au 18/04/2025 à Sibiti et Madingou </t>
  </si>
  <si>
    <t xml:space="preserve">Roderlin-CONGO Ration du 02 au 04/04/2025 à Owando </t>
  </si>
  <si>
    <t>Roderlin-CONGO frais d'hôtel du 02 au 04/04/2025 à Owando (02 nuitées)</t>
  </si>
  <si>
    <t>Roderlin-CONGO frais d'hôtel du 10 au 12/04/2025 à Sibiti (02 nuitées)</t>
  </si>
  <si>
    <t>Roderlin-CONGO frais d'hôtel du 12 au 18/04/2025 à Madingou (06 nuitées)</t>
  </si>
  <si>
    <t>Achat carburant groupe élèctrogène Bureau</t>
  </si>
  <si>
    <t xml:space="preserve">Roderlin-CONGO Ration du 28 au 30/04/2025 à Owando </t>
  </si>
  <si>
    <t>Roderlin-CONGO frais d'hôtel du 28 au 30/04/2025 à Owando (02 nuitées)</t>
  </si>
  <si>
    <t>Paiement salaire du mois d'Avril 2025/Homéfa DOVI/3654855</t>
  </si>
  <si>
    <t>Paiement salaire du mois d'Avril 2025/BAVOUMINA NZOUSSI Dina Parfaite/365854</t>
  </si>
  <si>
    <t>Paiement salaire du mois d'Avril 2025/BOUNGOU MAKOSSO Abraham/3654851</t>
  </si>
  <si>
    <t>Solde  honoraire contrat n°55 Brazzaville cas / Maître MALONGA Marie Hélène/3654844</t>
  </si>
  <si>
    <t>Solde  honoraire contrat n°83 Dolisie cas NDOHO et NGOMA/ Maître BANZOUZI Alain/3654845</t>
  </si>
  <si>
    <t>Frais de la matérialisation de décisions de justice/Frais d'expédition/Paiement de l'acte d'appel</t>
  </si>
  <si>
    <t>Achat billet Owando-Brazzaville/ Roderlin</t>
  </si>
  <si>
    <t>Training</t>
  </si>
  <si>
    <t>Wildcat  2025</t>
  </si>
  <si>
    <t>Crepin</t>
  </si>
  <si>
    <t>phone credit received</t>
  </si>
  <si>
    <t>phone credit bought</t>
  </si>
  <si>
    <t>distributed</t>
  </si>
  <si>
    <t>name</t>
  </si>
  <si>
    <t>balance</t>
  </si>
  <si>
    <t>Date+A1:E38</t>
  </si>
  <si>
    <t>Solde  honoraire contrat n°82 Owando cas NGASSAKI et ELOMBO/ Maître BANZOUZI Alain/3654862</t>
  </si>
  <si>
    <t>Reglement Facture Gardiennage Mois d'Avril 2025/3654863</t>
  </si>
  <si>
    <t>Paiement salaire du mois de Mai 2025/Homéfa DOVI/3654869</t>
  </si>
  <si>
    <t>Paiement salaire du mois de Mai 2025/BAVOUMINA NZOUSSI Dina Parfaite/365873</t>
  </si>
  <si>
    <t>Paiement salaire du mois de Mai 2025/FOUMBA Roderlin/3654872</t>
  </si>
  <si>
    <t>Paiement salaire du mois de Mai 2025/BOUNGOU MAKOSSO Abraham/3654870</t>
  </si>
  <si>
    <t>Paiement salaire du mois de Mai 2025/LOUNDOU JeanRomain/3654871</t>
  </si>
  <si>
    <t>Paiement salaire du mois de Mai 2025/Crepin IBOUILI-IBOUILI</t>
  </si>
  <si>
    <t>Paiement salaire du mois de  Mai 2025/Evariste LELOUSSI</t>
  </si>
  <si>
    <t>Paiement salaire du mois de Mai 2025/PINDI BINGA Donald- Roméo</t>
  </si>
  <si>
    <t>Paiement Honoraire Me LOCKO/Mois de Mai 2025/3654877</t>
  </si>
  <si>
    <t>Reglement honoraire du mois de Mai 2025/G12/3654842</t>
  </si>
  <si>
    <t>RAPATRIEME01100 RAO00010812</t>
  </si>
  <si>
    <t>Paiement salaire du mois d'Avril 2025/FOUMBA Roderlin/36552</t>
  </si>
  <si>
    <t>Reglement loyer du mois de Mars 2025/3654865</t>
  </si>
  <si>
    <t>Frais de virement salaire du mois de Mai 2025/Evariste</t>
  </si>
  <si>
    <t>Frais de virement salaire du mois de Mai 2025/Crepin IBOUILI</t>
  </si>
  <si>
    <t>Frais de virement salaire du mois de Mai 2025/Donald-Roméo</t>
  </si>
  <si>
    <t>Oui</t>
  </si>
  <si>
    <t xml:space="preserve">Frais de transfert d'argent à P29 </t>
  </si>
  <si>
    <t>Frais de transfert d'argent à G12 et T73</t>
  </si>
  <si>
    <t>Frais de transport mission Maitre Alain à Dolisie du 07 au 10/05/2025</t>
  </si>
  <si>
    <t>Ration et frais d'hotel mission maitre Alain à Dolisie du 07 au 10/05/2025</t>
  </si>
  <si>
    <t>Frais de transfert d'argent à Donald-Roméo ,Me Alain et  Romain</t>
  </si>
  <si>
    <t>Réglement facture électricité periode Mars-Avril 2025/bureau PALF</t>
  </si>
  <si>
    <t>Entretien palmier bureau PALF</t>
  </si>
  <si>
    <t>Frais de tansfert d'argent à P29, T73, G12, Crépin et Donald roméo</t>
  </si>
  <si>
    <t>Fabricarion de cachet numériquebureau PALF</t>
  </si>
  <si>
    <t>Equipment</t>
  </si>
  <si>
    <t>Bonus du mois d'Avril 2025/Evariste</t>
  </si>
  <si>
    <t>Achat de 04 power Bank 20000mAh</t>
  </si>
  <si>
    <t>Reglement frais de réparation d'ordunateur</t>
  </si>
  <si>
    <t>Frais de tansfert d'argent à IT87</t>
  </si>
  <si>
    <t xml:space="preserve">Frais de tansfert d'argent à Evariste et  P29 </t>
  </si>
  <si>
    <t>Achat encre HP Laser noir et couleur 216A</t>
  </si>
  <si>
    <t>Paiement frais d'impression carte de visite coordinateur</t>
  </si>
  <si>
    <t>Frais de tansfert d'argent à P29 et Evariste</t>
  </si>
  <si>
    <t xml:space="preserve"> Frais de prestation de nettoyage jardin PALF Mai 2025</t>
  </si>
  <si>
    <t>Paiement Certificats d'hébergement  de martina et valentina</t>
  </si>
  <si>
    <t>Travel Expenses</t>
  </si>
  <si>
    <t>Reglement prestation de nettoyage  PALF du mois de Mai 2025</t>
  </si>
  <si>
    <t xml:space="preserve"> frais de ramassage Ordure Mai 2025</t>
  </si>
  <si>
    <t>Reglement facture internet periode du 01/05 au 30/06/2025 bureau PALF</t>
  </si>
  <si>
    <t>Frais de tansfert d'argent à Crepin, Donald-Roméo et Evariste</t>
  </si>
  <si>
    <t>Frais de tansfert d'argent à P29 et T73</t>
  </si>
  <si>
    <t>Frais de transport mission Maitre Alain à Impfondo du 01 au 06/06/2025</t>
  </si>
  <si>
    <t>Ration et frais d'hotel mission maitre Alain à Impfondo du 01 au 06/06/2025</t>
  </si>
  <si>
    <t>Bonus media portant sur l'interpellation de 2 Présumés trafiquants le 29/04/2025 à Owando</t>
  </si>
  <si>
    <t>credit  teléphonique MTN/PALF/Première partie du mois de mai 2025/Investigation</t>
  </si>
  <si>
    <t>credit  teléphonique MTN/PALF/Première partie du mois de Mai 2025/Investigation</t>
  </si>
  <si>
    <t>credit  teléphonique Airtel/PALF/Première partie du mois de mai 2025/Legal</t>
  </si>
  <si>
    <t>credit  teléphonique Airtel/PALF/Première partie du mois de mai 2025/Investigation</t>
  </si>
  <si>
    <t>office</t>
  </si>
  <si>
    <t>credit  teléphonique  du mois de mai 2025/Media</t>
  </si>
  <si>
    <t>credit  teléphonique du mois de Mai 2025/Investigation</t>
  </si>
  <si>
    <t>credit  teléphonique MTN/PALF/ Deuxième partie du mois de mai 2025/Investigation</t>
  </si>
  <si>
    <t>credit  teléphonique MTN/PALF/ Deuxième partie du mois de mai 2025/Legal</t>
  </si>
  <si>
    <t>credit  teléphonique Airtel/PALF/Deuxième  partie du mois de Mail 2025/Legal</t>
  </si>
  <si>
    <t>credit  teléphonique Airtel/PALF/Deuxième partie du mois de mai 2025/Investigation</t>
  </si>
  <si>
    <t>credit  teléphonique MTN/PALF/ Deuxième partie du mois de mai 2025/Management</t>
  </si>
  <si>
    <t>credit  teléphonique MTN/PALF/ Deuxième partie du mois de mai 2025/Office</t>
  </si>
  <si>
    <t>credit  teléphonique MTN/PALF/Première partie du mois de Juin 2025/Investigation</t>
  </si>
  <si>
    <t>credit  teléphonique MTN/PALF/Première partie du mois de JUIN 2025/Legal</t>
  </si>
  <si>
    <t>credit  teléphonique MTN/PALF/Première partie du mois de Juin 2025/Management</t>
  </si>
  <si>
    <t>credit  teléphonique MTN/PALF/Première partie du mois de Juin 2025/Office</t>
  </si>
  <si>
    <t>credit  teléphonique MTN/PALF/Première partie du mois de Mai 2025/Legal</t>
  </si>
  <si>
    <t>credit  teléphonique MTN/PALF/Première partie du mois de Mai 2025/Management</t>
  </si>
  <si>
    <t>credit  teléphonique MTN/PALF/Première partie du mois de Mai 2025/Office</t>
  </si>
  <si>
    <t>credit  teléphonique Airtel/PALF/Première partie du mois de Mai 2025/Legal</t>
  </si>
  <si>
    <t>credit  teléphonique Airtel/PALF/Première partie du mois de Juin 2025/Legal</t>
  </si>
  <si>
    <t>credit  teléphonique Airtel/PALF/Première partie du mois de Juin 2025/Investigation</t>
  </si>
  <si>
    <t>credit  teléphonique Airtel/PALF/Première partie du mois de Juin 2025/Media</t>
  </si>
  <si>
    <t>credit  teléphonique MTN/PALF/Première partie du mois de Juin 2025/Media</t>
  </si>
  <si>
    <t>IT87-MA-R1</t>
  </si>
  <si>
    <t>IT87-MA-D1</t>
  </si>
  <si>
    <t>IT87-MA-R2</t>
  </si>
  <si>
    <t>IT87-MA-R3</t>
  </si>
  <si>
    <t>IT87-MA-R4</t>
  </si>
  <si>
    <t>IT87-MA-R5</t>
  </si>
  <si>
    <t>Cumul frais de trust building du mois de Mai 2025/ IT87</t>
  </si>
  <si>
    <t>IT87-MA-D2</t>
  </si>
  <si>
    <t>IT87-MA-R6</t>
  </si>
  <si>
    <t>IT87-MA-R7</t>
  </si>
  <si>
    <t>IT87-MA-R8</t>
  </si>
  <si>
    <t>IT87-MA-R9</t>
  </si>
  <si>
    <t>Cumul frais de transport local du mois de Mai 2025/ IT87</t>
  </si>
  <si>
    <t>IT87-MA-D3</t>
  </si>
  <si>
    <t>IT87-MA-R10</t>
  </si>
  <si>
    <t>IT87-MA-R11</t>
  </si>
  <si>
    <t>P29-MA-R1</t>
  </si>
  <si>
    <t>P29-MA-D1</t>
  </si>
  <si>
    <t>P29-MA-R2</t>
  </si>
  <si>
    <t>P29-MA-R3</t>
  </si>
  <si>
    <t>P29-MA-R4</t>
  </si>
  <si>
    <t>P29-MA-R5</t>
  </si>
  <si>
    <t>P29-MA-R6</t>
  </si>
  <si>
    <t>P29-MA-R7</t>
  </si>
  <si>
    <t>P29-MA-R8</t>
  </si>
  <si>
    <t>P29-MA-D2</t>
  </si>
  <si>
    <t>P29-MA-R9</t>
  </si>
  <si>
    <t>P29-MA-R10</t>
  </si>
  <si>
    <t>P29-MA-R11</t>
  </si>
  <si>
    <t>P29-MA-R12</t>
  </si>
  <si>
    <t>P29-MA-R13</t>
  </si>
  <si>
    <t>P29-MA-R14</t>
  </si>
  <si>
    <t>Cumul frais de transport local du mois de Mai 2025/P29</t>
  </si>
  <si>
    <t>P29-MA-D3</t>
  </si>
  <si>
    <t>P29-MA-R15</t>
  </si>
  <si>
    <t>Cumul frais de trust building du mois de Mai 2025/P29</t>
  </si>
  <si>
    <t>P29-MA-D4</t>
  </si>
  <si>
    <t>P29-MA-R16</t>
  </si>
  <si>
    <t>P29-MA-R17</t>
  </si>
  <si>
    <t>P29-MA-R18</t>
  </si>
  <si>
    <t>P29-MA-R19</t>
  </si>
  <si>
    <t>P29-MA-R20</t>
  </si>
  <si>
    <t>P29-MA-R21</t>
  </si>
  <si>
    <t>P29-MA-R22</t>
  </si>
  <si>
    <t>P29-MA-R23</t>
  </si>
  <si>
    <t>P29-MA-R24</t>
  </si>
  <si>
    <t>T73-MA-R1</t>
  </si>
  <si>
    <t>T73-MA-D1</t>
  </si>
  <si>
    <t>T73-MA-R2</t>
  </si>
  <si>
    <t>T73-MA-R3</t>
  </si>
  <si>
    <t>T73-MA-R4</t>
  </si>
  <si>
    <t>T73-MA-R5</t>
  </si>
  <si>
    <t>T73-MA-R6</t>
  </si>
  <si>
    <t>T73-MA-R7</t>
  </si>
  <si>
    <t>T73-MA-R8</t>
  </si>
  <si>
    <t>T73-MA-D2</t>
  </si>
  <si>
    <t>T73-MA-R9</t>
  </si>
  <si>
    <t>T73-MA-R10</t>
  </si>
  <si>
    <t>T73-MA-R11</t>
  </si>
  <si>
    <t>Cumul frais de trust building du mois de Mai 2025/T73</t>
  </si>
  <si>
    <t>T73-MA-D3</t>
  </si>
  <si>
    <t>T73-MA-R12</t>
  </si>
  <si>
    <t>T73-MA-R13</t>
  </si>
  <si>
    <t>T73-MA-R14</t>
  </si>
  <si>
    <t>T73-MA-R15</t>
  </si>
  <si>
    <t>T73-MA-R16</t>
  </si>
  <si>
    <t>Cumul frais de transport local du mois de Mai 2025/T73</t>
  </si>
  <si>
    <t>T73-MA-D4</t>
  </si>
  <si>
    <t>T73-MA-R17</t>
  </si>
  <si>
    <t>T73-MA-R18</t>
  </si>
  <si>
    <t>T73-MA-R19</t>
  </si>
  <si>
    <t>G12-MA-R1</t>
  </si>
  <si>
    <t>G12-MA-D1</t>
  </si>
  <si>
    <t>G12-MA-R2</t>
  </si>
  <si>
    <t>G12-MA-R3</t>
  </si>
  <si>
    <t>G12-MA-R4</t>
  </si>
  <si>
    <t>G12-MA-R5</t>
  </si>
  <si>
    <t>G12-MA-R6</t>
  </si>
  <si>
    <t>G12-MA-R7</t>
  </si>
  <si>
    <t>G12-MA-R8</t>
  </si>
  <si>
    <t>G12-MA-R9</t>
  </si>
  <si>
    <t>G12-MA-R10</t>
  </si>
  <si>
    <t>G12-MA-D2</t>
  </si>
  <si>
    <t>G12-MA-R11</t>
  </si>
  <si>
    <t>G12-MA-R12</t>
  </si>
  <si>
    <t>G12-MA-R13</t>
  </si>
  <si>
    <t>G12-MA-R14</t>
  </si>
  <si>
    <t>G12-MA-R15</t>
  </si>
  <si>
    <t>G12-MA-R16</t>
  </si>
  <si>
    <t>G12-MA-R17</t>
  </si>
  <si>
    <t>G12-MA-R18</t>
  </si>
  <si>
    <t>Cumul Frais de trust building du mois de Mai 2025/G12</t>
  </si>
  <si>
    <t>G12-MA-D3</t>
  </si>
  <si>
    <t>Cumul frais de transport local du mois de Mai 2025/G12</t>
  </si>
  <si>
    <t>G12-MA-D4</t>
  </si>
  <si>
    <t>G12-MA-R19</t>
  </si>
  <si>
    <t>G12-MA-R20</t>
  </si>
  <si>
    <t>G12-MA-R21</t>
  </si>
  <si>
    <t>G12-MA-R22</t>
  </si>
  <si>
    <t>DH-MA-R2</t>
  </si>
  <si>
    <t>Règlement loyer/Avril 2025 (Coordinateur)</t>
  </si>
  <si>
    <t>DH-MA-R1</t>
  </si>
  <si>
    <t>DH-MA-R3</t>
  </si>
  <si>
    <t>Cumul frais de transport local du mois de Mai 2025/DOVI</t>
  </si>
  <si>
    <t>DH-MA-D1</t>
  </si>
  <si>
    <t>DH-MA-R4</t>
  </si>
  <si>
    <t>CA-MA-D7</t>
  </si>
  <si>
    <t>CR-MA-R12</t>
  </si>
  <si>
    <t>CR-MA-R13</t>
  </si>
  <si>
    <t>Bonus du mois de Avril 2025/Crépin</t>
  </si>
  <si>
    <t>Achat billet Brazzaville-Impfondo/ Crepin</t>
  </si>
  <si>
    <t>CR-MA-R1</t>
  </si>
  <si>
    <t>CREPIN-CONGO Ration  du 15/05/ au 04/06/2025 à Ouesso et Impfondo</t>
  </si>
  <si>
    <t>CR-MA-D1</t>
  </si>
  <si>
    <t>CR-MA-R14</t>
  </si>
  <si>
    <t>CR-MA-R15</t>
  </si>
  <si>
    <t xml:space="preserve"> CREPIN-CONGO Frais d'hotel  à Ouesso du 15 au 16/05/2025 (01 Nuitée)</t>
  </si>
  <si>
    <t>CR-MA-R2</t>
  </si>
  <si>
    <t>CREPIN-CONGO Frais d'hôtel  du 16 au 26/05/2025 à Impfondo (10 Nuites)/Crepin</t>
  </si>
  <si>
    <t>CR-MA-R3</t>
  </si>
  <si>
    <t>Raffraichissements pendant l'attente de l'opération avec 04 gendarmes en civile</t>
  </si>
  <si>
    <t>CR-MA-R4</t>
  </si>
  <si>
    <t>Raffraichissement pendant la mission sur EPENA</t>
  </si>
  <si>
    <t>CR-MA-R5</t>
  </si>
  <si>
    <t>Ration pendant la mission sur EPENA  avec 10 gendarmes, Evariste et Roméo</t>
  </si>
  <si>
    <t>CR-MA-R6</t>
  </si>
  <si>
    <t>Achat de 100 litres de carburant aller et retour Impfondo-EPENA</t>
  </si>
  <si>
    <t>Bonus pour 03 gendarmes d'EPENA ayant aidé pour l'interpellation de Parfait</t>
  </si>
  <si>
    <t>Bonus de 16 gendarmes ayant participé à l'opération d'Impfondo, le 27/05/2025</t>
  </si>
  <si>
    <t>CR-MA-R9</t>
  </si>
  <si>
    <t>Bonus de 10 gendarmes ayant effectué la mission d'EPENA le 27/05/2025</t>
  </si>
  <si>
    <t>CR-MA-R10</t>
  </si>
  <si>
    <t>Bonus de 02 EF pour l'opération du 27/05/2025 à Impfondo</t>
  </si>
  <si>
    <t>CR-MA-R11</t>
  </si>
  <si>
    <t xml:space="preserve">Cumul frais de transport local du mois de Mai 2025/Crepin </t>
  </si>
  <si>
    <t>CR-MA-D2</t>
  </si>
  <si>
    <t>CR-MA-R16</t>
  </si>
  <si>
    <t>CR-MA-R17</t>
  </si>
  <si>
    <t>CA-MA-R1</t>
  </si>
  <si>
    <t>CA-MA-D2</t>
  </si>
  <si>
    <t>CA-MA-R5</t>
  </si>
  <si>
    <t>CA-MA-R14</t>
  </si>
  <si>
    <t>CA-MA-R15</t>
  </si>
  <si>
    <t>CA-MA-R16</t>
  </si>
  <si>
    <t>CA-MA-R17</t>
  </si>
  <si>
    <t>CA-MA-R19</t>
  </si>
  <si>
    <t>CA-MA-R21</t>
  </si>
  <si>
    <t>CA-MA-R22</t>
  </si>
  <si>
    <t>CA-MA-R25</t>
  </si>
  <si>
    <t>CA-MA-R26</t>
  </si>
  <si>
    <t>CA-MA-R27</t>
  </si>
  <si>
    <t>CA-MA-R29</t>
  </si>
  <si>
    <t>Bonus du mois d'Avril 2025/Parfaite</t>
  </si>
  <si>
    <t>P-MA-R1</t>
  </si>
  <si>
    <t>P-MA-R2</t>
  </si>
  <si>
    <t>Cumul frais de transport local du mois de Mai 2025/ Parfaite</t>
  </si>
  <si>
    <t>P-MA-D1</t>
  </si>
  <si>
    <t>P-MA-R3</t>
  </si>
  <si>
    <t>CA-MA-R2</t>
  </si>
  <si>
    <t>CA-MA-D5</t>
  </si>
  <si>
    <t>CA-MA-R8</t>
  </si>
  <si>
    <t>CA-MA-R10</t>
  </si>
  <si>
    <t>CA-MA-R18</t>
  </si>
  <si>
    <t>CA-MA-R24</t>
  </si>
  <si>
    <t>CA-MA-R28</t>
  </si>
  <si>
    <t>AB-MA-R3</t>
  </si>
  <si>
    <t>AB-MA-R4</t>
  </si>
  <si>
    <t>AB-MA-R5</t>
  </si>
  <si>
    <t>AB-MA-R6</t>
  </si>
  <si>
    <t>Achat billet Brazzaville-Dolisie/Abraham</t>
  </si>
  <si>
    <t>AB-MA-R1</t>
  </si>
  <si>
    <t>ABRAHAM - CONGO Ration du 21 au 23/05/2025 à Dolisie (02 Nuitées)</t>
  </si>
  <si>
    <t>AB-MA-D1</t>
  </si>
  <si>
    <t>Achat billet Dolisie-Brazzaville /Abraham</t>
  </si>
  <si>
    <t>AB-MA-R2</t>
  </si>
  <si>
    <t>Cumul frais de Jail visits du mois de Mai 2025/ Abraham</t>
  </si>
  <si>
    <t>AB-MA-D2</t>
  </si>
  <si>
    <t>ABRAHAM - CONGO frais d'Hôtel  du 21 au 23/05/2025 à Dolisie (02 Nuitées)</t>
  </si>
  <si>
    <t>AB-MA-R7</t>
  </si>
  <si>
    <t>AB-MA-R8</t>
  </si>
  <si>
    <t>Cumul frais de transport local du mois de Mai 2025/ Abraham</t>
  </si>
  <si>
    <t>AB-MA-D3</t>
  </si>
  <si>
    <t>CA-MA-D3</t>
  </si>
  <si>
    <t>CA-MA-R11</t>
  </si>
  <si>
    <t>CA-MA-R20</t>
  </si>
  <si>
    <t>Bonus du mois d'Avril 2025/Romain</t>
  </si>
  <si>
    <t>CA-MA-D6</t>
  </si>
  <si>
    <t>CA-MA-R6</t>
  </si>
  <si>
    <t>CA-MA-R7</t>
  </si>
  <si>
    <t>CA-MA-R23</t>
  </si>
  <si>
    <t>RO-MA-R6</t>
  </si>
  <si>
    <t>RO-MA-R7</t>
  </si>
  <si>
    <t>Achat billet Brazzaville-Loudima/ Roderlin</t>
  </si>
  <si>
    <t>RO-MA-R1</t>
  </si>
  <si>
    <t>RO-MA-R2</t>
  </si>
  <si>
    <t>RODERLIN-CONGO Ration du 21 au 23/05/2025 à Sibiti (02 nuitées)</t>
  </si>
  <si>
    <t>RO-MA-D1</t>
  </si>
  <si>
    <t>Cumul Frais de Jail visits du mois de Mai 2025/Roderlin</t>
  </si>
  <si>
    <t>RO-MA-D2</t>
  </si>
  <si>
    <t>RODERLIN-CONGO frais d'hôtel du 21 au 23/05/2025 à Sibiti (02 nuitées)</t>
  </si>
  <si>
    <t>RO-MA-R3</t>
  </si>
  <si>
    <t>RO-MA-R4</t>
  </si>
  <si>
    <t>Achat billet Nkayi-Brazzaville/ Roderlin</t>
  </si>
  <si>
    <t>RO-MA-R5</t>
  </si>
  <si>
    <t>Cumul Frais de transport local  du mois de Mai 2025/Roderlin</t>
  </si>
  <si>
    <t>RO-MA-D3</t>
  </si>
  <si>
    <t>RO-MA-R8</t>
  </si>
  <si>
    <t>DR-MA-R9</t>
  </si>
  <si>
    <t>DR-MA-R1</t>
  </si>
  <si>
    <t>DONALD-ROMEO/ CONGO Ration  du  07 au 10/05/2025 à Dolisie</t>
  </si>
  <si>
    <t>DR-MA-D1</t>
  </si>
  <si>
    <t>Achat billet Dolisie-Brazzaville/Donald-Roméo</t>
  </si>
  <si>
    <t>DR-MA-R2</t>
  </si>
  <si>
    <t>DONALD-ROMEO/CONGO Frais d'hôtel du 07 au 10/05/2025 à Dolisie (03 Nuitées)</t>
  </si>
  <si>
    <t>DR-MA-R3</t>
  </si>
  <si>
    <t>Achat billet Brazzaville-Impfondo/Donald-Roméo</t>
  </si>
  <si>
    <t>DR-MA-R4</t>
  </si>
  <si>
    <t>DONALD-ROMEO/CONGO Ration  du  15/05 au 04/06/2025 à Ouesso/ Impfondo</t>
  </si>
  <si>
    <t>DR-MA-D2</t>
  </si>
  <si>
    <t>DR-MA-R10</t>
  </si>
  <si>
    <t>Frais d'hôtel/  01 Nuitée du 15 au 16/05/2025 à Ouesso (Hôtel  Divine)</t>
  </si>
  <si>
    <t>DR-MA-R5</t>
  </si>
  <si>
    <t>Frais d'impression de la photo et du mandat</t>
  </si>
  <si>
    <t>Court Fees</t>
  </si>
  <si>
    <t>DR-MA-R6</t>
  </si>
  <si>
    <t>DR-MA-R7</t>
  </si>
  <si>
    <t>Raffraichissement OP  à Impfondo/10  gendarmes et moi</t>
  </si>
  <si>
    <t>DR-MA-R8</t>
  </si>
  <si>
    <t>DR-MA-R11</t>
  </si>
  <si>
    <t>cumul frais de Jail visits du mois de Mai 2025/Donald-Romeo</t>
  </si>
  <si>
    <t>DR-MA-D3</t>
  </si>
  <si>
    <t>Cumul frais de transport local du mois de Mai 2025/Donald-Romeo</t>
  </si>
  <si>
    <t>DR-MA-D4</t>
  </si>
  <si>
    <t>COMPTA Romain-Juriste</t>
  </si>
  <si>
    <t>COMPTA Donald-Roméo - Juriste</t>
  </si>
  <si>
    <t>CA-MA-D1</t>
  </si>
  <si>
    <t>CA-MA-D8</t>
  </si>
  <si>
    <t>Achat Billet Brazzaville-Impfondo/ Evariste</t>
  </si>
  <si>
    <t>EV-MA-R1</t>
  </si>
  <si>
    <t>EVARISTE-CONGO Ration du 22 mai au 04 juin 2025 à d'Impfondo ( 13 nuitées )</t>
  </si>
  <si>
    <t>EV-MA-D1</t>
  </si>
  <si>
    <t>EVARISTE-CONGO Frais de l'hôtel à Ouesso du 22 au 23 mai 2025 (Une nuitée)</t>
  </si>
  <si>
    <t>EV-MA-R2</t>
  </si>
  <si>
    <t xml:space="preserve">EVARISTE-CONGO Frais  d'hôtel  du 23 au 24 mai 2025 à Enyellé (Une nuitée) </t>
  </si>
  <si>
    <t>EV-MA-R3</t>
  </si>
  <si>
    <t>EV-MA-R4</t>
  </si>
  <si>
    <t>Cumul frais de transport local du mois de Mai 2025/ Evariste</t>
  </si>
  <si>
    <t>EV-MA-D2</t>
  </si>
  <si>
    <t>EV-MA-R5</t>
  </si>
  <si>
    <t>EV-MA-R6</t>
  </si>
  <si>
    <t>EV-MA-R7</t>
  </si>
  <si>
    <t>CA-MA-R30</t>
  </si>
  <si>
    <t>CA-MA-R31</t>
  </si>
  <si>
    <t>CA-MA-R3</t>
  </si>
  <si>
    <t>CA-MA-R12</t>
  </si>
  <si>
    <t>CA-MA-R13</t>
  </si>
  <si>
    <t>CA-MA-R4</t>
  </si>
  <si>
    <t>Bonus du mois d'Avril 2025/Abraham</t>
  </si>
  <si>
    <t>Frais de transport mission Maitre Alain à Dolisie du 21 au 23/05/2025</t>
  </si>
  <si>
    <t>Ration et frais d'hotel mission maitre Alain à Dolisie du 21 au 23/05/2025</t>
  </si>
  <si>
    <t>RM-MA-R8</t>
  </si>
  <si>
    <t>Achat billet:Brazzaville-Dolisie/ Romain</t>
  </si>
  <si>
    <t>RM-MA-R1</t>
  </si>
  <si>
    <t>ROMAIN-CONGO Ration du 07 au 10/05/2025 à Dolisie</t>
  </si>
  <si>
    <t>RM-MA-D1</t>
  </si>
  <si>
    <t>Frais d'expédition</t>
  </si>
  <si>
    <t>RM-MA-R2</t>
  </si>
  <si>
    <t>Achat billet  Dolisie-Brazzaville/ Romain</t>
  </si>
  <si>
    <t>RM-MA-R3</t>
  </si>
  <si>
    <t>ROMAIN-CONGO Frais d'Hotel du 07 au 10/05/2025 à Dolisie (03nuitées)</t>
  </si>
  <si>
    <t>RM-MA-R4</t>
  </si>
  <si>
    <t>RM-MA-R9</t>
  </si>
  <si>
    <t>Achat billet Brazzaville-Owando/ Romain</t>
  </si>
  <si>
    <t>RM-MA-R5</t>
  </si>
  <si>
    <t>ROMAIN-CONGO  Ration du 21 au 23/05/2025 à Owando</t>
  </si>
  <si>
    <t>RM-MA-D2</t>
  </si>
  <si>
    <t>Achat billet  Owando-Brazzaville/ Romain</t>
  </si>
  <si>
    <t>RM-MA-R6</t>
  </si>
  <si>
    <t>cumul frais de Jail visits du mois de Mai 2025/Romain</t>
  </si>
  <si>
    <t>RM-MA-D3</t>
  </si>
  <si>
    <t>ROMAIN-CONGO Frais d'hotel du 21 au 23 Mai 2025 à Owando (02 Nuitées)</t>
  </si>
  <si>
    <t>RM-MA-R7</t>
  </si>
  <si>
    <t>Cumul frais de transport local du mois de Mai 2025/Romain</t>
  </si>
  <si>
    <t>RM-MA-D4</t>
  </si>
  <si>
    <t>RM-MA-R10</t>
  </si>
  <si>
    <t>CA-MA-D4</t>
  </si>
  <si>
    <t>BQ-MA-R13</t>
  </si>
  <si>
    <t>BQ-MA-R1</t>
  </si>
  <si>
    <t>BQ-MA-R2</t>
  </si>
  <si>
    <t>BQ-MA-R14</t>
  </si>
  <si>
    <t>BQ-MA-R12</t>
  </si>
  <si>
    <t>BQ-MA-G1</t>
  </si>
  <si>
    <t>BQ-MA-R3</t>
  </si>
  <si>
    <t>BQ-MA-R4</t>
  </si>
  <si>
    <t>BQ-MA-R5</t>
  </si>
  <si>
    <t>BQ-MA-R6</t>
  </si>
  <si>
    <t>BQ-MA-R7</t>
  </si>
  <si>
    <t>BQ-MA-R8</t>
  </si>
  <si>
    <t>BQ-MA-R9</t>
  </si>
  <si>
    <t>BQ-MA-R10</t>
  </si>
  <si>
    <t>BQ-MA-R15</t>
  </si>
  <si>
    <t>BQ-MA-R16</t>
  </si>
  <si>
    <t>BQ-MA-R17</t>
  </si>
  <si>
    <t>BQ-MA-R11</t>
  </si>
  <si>
    <t>Bonus du mois de d'avril 2025/Roderlin</t>
  </si>
  <si>
    <t>Bonus du mois d'Avril 2025/Donal-Roméo</t>
  </si>
  <si>
    <t>(vide)</t>
  </si>
  <si>
    <t>Parfaire BAVOUMINA</t>
  </si>
  <si>
    <t>Étiquettes de colonnes</t>
  </si>
  <si>
    <t>Somme de distributed</t>
  </si>
  <si>
    <t>G12-MA-R23</t>
  </si>
  <si>
    <t>Phone credit</t>
  </si>
  <si>
    <t>CA-MA-R9</t>
  </si>
  <si>
    <t>Reglement prestation de nettoyage  PALF du mois d'Avril 2025</t>
  </si>
  <si>
    <t>Wildcat 2024</t>
  </si>
  <si>
    <t>Wildcat 2025</t>
  </si>
  <si>
    <t>Reglement honoraire du mois de Mai 2025/IT87/3654878</t>
  </si>
  <si>
    <t>Reglement Facture Gardiennage Mois de Mai 2025/3654876</t>
  </si>
  <si>
    <t>Reglement loyer du mois de Mai 2025/3654864</t>
  </si>
  <si>
    <t>Reglement honoraire du mois de de Mai 2025/P29/3654880</t>
  </si>
  <si>
    <t>Reglement honoraire du mois de Mai 2025/T73/3654881</t>
  </si>
  <si>
    <t>Paiement salaire du mois de Mai 2025/LOUNDOU JeanRomain/3654891</t>
  </si>
  <si>
    <t>Acompte honoraire contrat N°84 Impfondo cas MBEKELE, MOUANDOLA et EBOUZI/Maitre Marie Alain BAZOUNZI/ 3654883</t>
  </si>
  <si>
    <t>Solde  honoraire contrat n°78 Sibiti cas BOUTSANA et KAMBOU/ Maître BANZOUZI Alain/3654882</t>
  </si>
  <si>
    <t>Acompte honoraire contrat N°60_Brazzaville cas NZETSI BIMOKO et Consorts/Maitre Marie Hélène NANITELAMIO MALONGA/ 3654884</t>
  </si>
  <si>
    <t>Reglement loyer du mois de Juin 2025/3654885</t>
  </si>
  <si>
    <t>Frais de tansfert d'argent à  Evariste</t>
  </si>
  <si>
    <t>Frais de tansfert d'argent à  Evariste, Crepin, Romain et Donald-Roméo</t>
  </si>
  <si>
    <t>Achat fournitures de bureau marqueurs, chemise cartonée, enveloppe , facturier/Bureau PALF</t>
  </si>
  <si>
    <t>Frais de transport mission Maitre Alain à Impfondo du 01 au 15/06/2025</t>
  </si>
  <si>
    <t>Ration et frais d'hotel mission maitre Alain à Impfondo du 01 au 15/06/2025</t>
  </si>
  <si>
    <t>Frais de tansfert d'argent à Romain et Me Alain</t>
  </si>
  <si>
    <t>Frais de tansfert d'argent à Roderlin</t>
  </si>
  <si>
    <t>Bonus du mois de Mai 2025/Abraham</t>
  </si>
  <si>
    <t>Frais de tansfert d'argent à Crépin et Donald-Roméo</t>
  </si>
  <si>
    <t>Bonus du mois de Mai 2025/Evariste</t>
  </si>
  <si>
    <t>Bonus opération du 27/05/2025 à Impfondo/Evariste</t>
  </si>
  <si>
    <t>Bonus du mois de Mai 2025/Romain</t>
  </si>
  <si>
    <t>CA-J-D6</t>
  </si>
  <si>
    <t>CA-J-D7</t>
  </si>
  <si>
    <t>Achat de 02 petit telephone bureau PALF</t>
  </si>
  <si>
    <t>Bonus du mois de Mai 2025/Parfaite</t>
  </si>
  <si>
    <t>CA-J-D8</t>
  </si>
  <si>
    <t>Frais de tansfert d'argent à Roderlin et Abraham</t>
  </si>
  <si>
    <t>Bonus du mois de Mai 2025/Crepin</t>
  </si>
  <si>
    <t>CA-J-D9</t>
  </si>
  <si>
    <t>Bonus operation du 27/05/2025 à Impfondo/Crepin</t>
  </si>
  <si>
    <t>CA-J-D10</t>
  </si>
  <si>
    <t>Bonus du mois de Mai 2025/Donald-Roméo</t>
  </si>
  <si>
    <t>CA-J-D11</t>
  </si>
  <si>
    <t>Bonus operation du 27/05/2025 à Impfondo/Donald-Roméo</t>
  </si>
  <si>
    <t>CA-J-D12</t>
  </si>
  <si>
    <t>Bonus du mois de Mai 2025/Roderlin</t>
  </si>
  <si>
    <t>CA-J-D13</t>
  </si>
  <si>
    <t>Frais de transport mission Maitre Alain à Dolisie du 18 au 20/06/2025</t>
  </si>
  <si>
    <t>Ration et frais d'hotel mission maitre Alain à Dolisie du 18 au 20/06/2025</t>
  </si>
  <si>
    <t>CA-J-D14</t>
  </si>
  <si>
    <t>Frais de transport mission Maitre Alain à Impfondo du 22 au 29/06/2025</t>
  </si>
  <si>
    <t>Ration et frais d'hotel mission maitre Alain à Impfondo du 22 au 29/06/2025</t>
  </si>
  <si>
    <t>Maintenance groupe electrogène bureau PALF</t>
  </si>
  <si>
    <t>Frais de tansfert d'argent à Donald roméo</t>
  </si>
  <si>
    <t>Rent et Utilities</t>
  </si>
  <si>
    <t>Reglement prestation de nettoyage  PALF du mois de Juin 2025</t>
  </si>
  <si>
    <t>Reglement facture internet periode du 01/07 au 31/07/2025 bureau PALF</t>
  </si>
  <si>
    <t>Règlement Loyer Mai 2025/Coordinateur</t>
  </si>
  <si>
    <t>Credit telephonique MTN PALF/Deuxième partie du mois de Juin 2025/DOVI</t>
  </si>
  <si>
    <t>Cumul frais de transport local du mois de Juin 2025/DOVI</t>
  </si>
  <si>
    <t>CREPIN-CONGO Ration du 04 au 15/06/2025 à Impfondo</t>
  </si>
  <si>
    <t>Achat Billet Impfondo-Brazzaville/ Crepin</t>
  </si>
  <si>
    <t xml:space="preserve"> Crepin-CONGO Frais d'hôtel du 27/05 au 13/06 2025  à Impfondo (17 Nuitées)</t>
  </si>
  <si>
    <t>Crépin-CONGO Frais d'hôtel du 13 au 14/06/2025 à Enyele (01 nuitée)</t>
  </si>
  <si>
    <t>Frais d'Hôtel, Crépin-CONGO Frais d'hôtel du 14 au 15/06/2025 à Oyo (01 Nuitée )</t>
  </si>
  <si>
    <t>Credit teléphonique MTN PALF/Deuxième partie du mois de Juin 2025/Crepin</t>
  </si>
  <si>
    <t>Credit teléphonique AIRTEL PALF/Deuxième partie du mois de Juin 2025/Crepin</t>
  </si>
  <si>
    <t>Cumul frais de transport local du mois de Juin 2025/Crepin</t>
  </si>
  <si>
    <t>Credit teléphonique MTN PALF/Deuxième partie du mois de Juin 2025/ Parfaite</t>
  </si>
  <si>
    <t>P-J-R1</t>
  </si>
  <si>
    <t>Cumul frais de transport local du mois de Juin 2025/Parfaite</t>
  </si>
  <si>
    <t>P-J-D1</t>
  </si>
  <si>
    <t>Frais de ramassage Ordure Juin 2025</t>
  </si>
  <si>
    <t>P19-J-R1</t>
  </si>
  <si>
    <t>P19-J-R2</t>
  </si>
  <si>
    <t>P19-J-R3</t>
  </si>
  <si>
    <t>Credit teléphonique MTN PALF/Deuxième partie du mois de Juin 2025/P29</t>
  </si>
  <si>
    <t>P19-J-R4</t>
  </si>
  <si>
    <t>credit teléphonique AIRTEL PALF/Deuxième partie du mois de Juin 2025/P29</t>
  </si>
  <si>
    <t>P19-J-R5</t>
  </si>
  <si>
    <t>Cumul frais de transport local du mois de Juin  2025/P29</t>
  </si>
  <si>
    <t>Cumul frais de trust builfing du mois de Juin  2025/P29</t>
  </si>
  <si>
    <t>Paiement frais de formation</t>
  </si>
  <si>
    <t>Crédit teléphonique MTN PALF/Deuxième partie du mois de Juin 2025</t>
  </si>
  <si>
    <t>cumul frais de trust building du mois de Juin 2025/T73</t>
  </si>
  <si>
    <t>Cumul frais de transport local du mois de Juin 2025/T73</t>
  </si>
  <si>
    <t>Cumul frais de trust building du mois de Juin 2025/IT87</t>
  </si>
  <si>
    <t>Credit teléphonique MTN PALF / Deuxième partie du mois de Juin 2025/ IT87</t>
  </si>
  <si>
    <t>Cumul frais de transport local du mois de Juin 2025/IT87</t>
  </si>
  <si>
    <t>Credit télephonique MTN PALF/Deuxième partie du mois de Juin 2025/G12</t>
  </si>
  <si>
    <t>Credit télephonique AIRTEL PALF/Deuxième partie du mois de Juin 2025/G12</t>
  </si>
  <si>
    <t>Cumul frais de transport local du mois Juin 2025/G12</t>
  </si>
  <si>
    <t>Achat billet Brazzaville-Loudima/Abraham</t>
  </si>
  <si>
    <t>ABRAHAM - CONGO Ration du 11 au 13/06/2025 à Sibiti (02 Nuitées)</t>
  </si>
  <si>
    <t>Taxi: Loudima-Sibiti</t>
  </si>
  <si>
    <t>ABRAHAM - CONGO frais d'Hôtel (Hôtel Le Papyrus) du 11 au 14/06/2025 à Sibiti (03 Nuitées)</t>
  </si>
  <si>
    <t>Taxi: Sibiti-Nkayi</t>
  </si>
  <si>
    <t>Achat Billet Nkayi-Brazzaville</t>
  </si>
  <si>
    <t>Credit teléphonique MTN PALF/ Deuxième partie du mois de Juin 2025/ Abraham</t>
  </si>
  <si>
    <t>AB-J-R6</t>
  </si>
  <si>
    <t>Credit teléphonique AIRTEL PALF/ Deuxième partie du mois de Juin 2025/ Abraham</t>
  </si>
  <si>
    <t>AB-J-R7</t>
  </si>
  <si>
    <t>AB-J-R8</t>
  </si>
  <si>
    <t>ABRAHAM - CONGO Ration du 18 au 20/06/2025 à Dolisie (02 Nuitées)</t>
  </si>
  <si>
    <t>Cumul frais de Jail visits du mois de Juin 2025/Abraham</t>
  </si>
  <si>
    <t>AB-J-D3</t>
  </si>
  <si>
    <t>ABRAHAM - CONGO Frais d'Hôtel (Hôtel La Gloire) du 18 au 20/06/2025 à Dolisie (02 Nuitées)</t>
  </si>
  <si>
    <t>AB-J-R9</t>
  </si>
  <si>
    <t>Cumul frais de transport local du mois de Juin 2025/ Abraham</t>
  </si>
  <si>
    <t>AB-J-D4</t>
  </si>
  <si>
    <t>Frais de transport mission Maitre Helene du 04 au 06/06/2025 à Owando</t>
  </si>
  <si>
    <t>Ration et frais d'hotel mission maitre Helène du 04 au 06/06/2025 à Owando</t>
  </si>
  <si>
    <t>Achat billet Brazzaville-Owando</t>
  </si>
  <si>
    <t>RODERLIN-CONGO Ration du 04 au 06/06/2025 à Owando (02 nuitées)</t>
  </si>
  <si>
    <t xml:space="preserve">Achat billet Owando- Brazzaville </t>
  </si>
  <si>
    <t xml:space="preserve">Paiement des frais de notification de l'ordonnance de règlement definitif du cas EBI Aimé </t>
  </si>
  <si>
    <t>RODERLIN-CONGO frais d'hôtel du 04 au 06/06/2025 à Owando (02 nuitées)</t>
  </si>
  <si>
    <t>RO-J-R4</t>
  </si>
  <si>
    <t>RO-J-R5</t>
  </si>
  <si>
    <t>Frais de transport mission Maitre Hélene  du 11 au 14/06/2025 à Owando</t>
  </si>
  <si>
    <t>Ration et frais d'hotel mission maitre Hélène du 11 au 14/06/2025 à Owando</t>
  </si>
  <si>
    <t>RODERLIN-CONGO Ration du 11 au 14/06/2025 à Owando (03 nuitées)</t>
  </si>
  <si>
    <t>RO-J-R6</t>
  </si>
  <si>
    <t>RODERLIN-CONGO frais d'hôtel du 11 au 14/06/2025 à Owando (03 nuitées)</t>
  </si>
  <si>
    <t>RO-J-R7</t>
  </si>
  <si>
    <t>Credit teléphonique MTN PALF/Deuxième partie du mois de Juin 2025/Roderlin</t>
  </si>
  <si>
    <t>RO-J-R8</t>
  </si>
  <si>
    <t>RO-J-R9</t>
  </si>
  <si>
    <t>RODERLIN-CONGO Ration du 24 au 26/06/2025 à Owando (02 nuitées)</t>
  </si>
  <si>
    <t>Frais de transport mission Maitre Hélene  du 25 au 27/06/2025 à Owando</t>
  </si>
  <si>
    <t>Ration et frais d'hotel mission maitre Hélène  du 25 au 27/06/2025 à Owando</t>
  </si>
  <si>
    <t>RO-J-R10</t>
  </si>
  <si>
    <t>cumul frais de Jail visits du mois de Juin 2025/Roderlin</t>
  </si>
  <si>
    <t>RO-J-D4</t>
  </si>
  <si>
    <t>RODERLIN-CONGO Frais d'hôtel du 25 au 27/06/2025 à Owando (02 nuitées)</t>
  </si>
  <si>
    <t>RO-J-R11</t>
  </si>
  <si>
    <t>Cumul frais de transport local du mois de Juin 2025/Roderlin</t>
  </si>
  <si>
    <t>RO-J-D5</t>
  </si>
  <si>
    <t>Achat Billet Brazzaville-Impfondo/ Romain</t>
  </si>
  <si>
    <t>ROMAIN-CONGO: Ration du 01 au 08/2025 à Impfondo</t>
  </si>
  <si>
    <t>Romain-CONGO: Frais d'hotel du 01 au 02/06/2025 à Ouesso (01 Nuitée)</t>
  </si>
  <si>
    <t>Romain-CONGO: Frais d'hotel du 02 au 03/06/2025 à Enyele (01 Nuitée)</t>
  </si>
  <si>
    <t>Achat billet Impfondo- Brazzaville/ Romain</t>
  </si>
  <si>
    <t>Romain-CONGO: Frais d'hotel du 03 au 06/06/2025 à Impfondo (03 Nuitée)</t>
  </si>
  <si>
    <t>ROMAIN-CONGO: Frais d'hotel  du 06 au 07/06/2025 à Enyele (01nuitées)</t>
  </si>
  <si>
    <t>RM-J-R6</t>
  </si>
  <si>
    <t>ROMAIN-CONGO: Frais d'hotel  du 07 au 08/06/2025 Gamboma (01nuitées)</t>
  </si>
  <si>
    <t>Cumul frais de transport local du mois de Juin 2025/Romain</t>
  </si>
  <si>
    <t>Prime du 13 eme Mois 2024/Romain</t>
  </si>
  <si>
    <t>Donald-Roméo-CONGO Ration du 04 au 15/06/2025 à Impfondo</t>
  </si>
  <si>
    <t>Achat billet Impfondo-Brazzaville/Donald-Roméo</t>
  </si>
  <si>
    <t>Donald Roméo-CONGO Frais d'hôtel du 16/05 au 13/06/2025 à Impfondo ( 28 Nuitées )</t>
  </si>
  <si>
    <t>Donald Roméo- CONGO Frais d'hôtel du 13 au 14/06/2025 à Enyele ( 01 Nuitée)</t>
  </si>
  <si>
    <t>Donald Roméo- CONGO Frais d'hôtel du 14 au 15/06/2025 à Oyo  01 Nuitée)</t>
  </si>
  <si>
    <t>Credit teléphonique MTN PALF/Dexième partie du mois de Juin 2025/Donald-Roméo</t>
  </si>
  <si>
    <t>DR-J-R6</t>
  </si>
  <si>
    <t>Achat billet Brazzaville-Imfondo/Donald-Roméo</t>
  </si>
  <si>
    <t>DR-J-R7</t>
  </si>
  <si>
    <t>Donald Roméo-CONGO Ration  du  22 au 29/06/2025 à Impfondo</t>
  </si>
  <si>
    <t>Donald Roméo-CONGO Frais d'hôtel du 22 au 23/06/2025 à Ouesso (  01 Nuitée)</t>
  </si>
  <si>
    <t>DR-J-R8</t>
  </si>
  <si>
    <t>Donald Roméo-CONGO Frais d'hôtedu 23 au 24/06/2025 à Enyele (  01 Nuitée)</t>
  </si>
  <si>
    <t>DR-J-R9</t>
  </si>
  <si>
    <t>Cumul frais de Jail visits du mois de Juin 2025/Donald-Romeo</t>
  </si>
  <si>
    <t>DR-J-D3</t>
  </si>
  <si>
    <t>Achat billet Imfondo-Brazzaville</t>
  </si>
  <si>
    <t>DR-J-R10</t>
  </si>
  <si>
    <t>Donald Roméo-CONGO Frais d'hôtel du 24 au 27/06/2025 à Impfondo ( 03 Nuitées )</t>
  </si>
  <si>
    <t>DR-J-R11</t>
  </si>
  <si>
    <t>Donald Roméo- CONGO Frais d'hôtel du 27 au 28/06/2025 à Enyele (01 Nuitée)</t>
  </si>
  <si>
    <t>DR-J-R12</t>
  </si>
  <si>
    <t>Donald Roméo-CONGO Frais d'hôtel du 28 au 29/06/2025 à Oyo ( 01 Nuitée)</t>
  </si>
  <si>
    <t>DR-J-R13</t>
  </si>
  <si>
    <t>Cumul frais de transport local du mois de Juin 2025/Donald-Romeo</t>
  </si>
  <si>
    <t>DR-J-D4</t>
  </si>
  <si>
    <t>Achat billet Impfondo-Brazzaville/ Evariste</t>
  </si>
  <si>
    <t>Evariste-CONGO Ration  du 04 au 08 /06/ 2025 à Impfondo</t>
  </si>
  <si>
    <t xml:space="preserve">Evariste- CONGO Frais de l'hôtel du 24/05 au 06/06/2025 à Impfondo  ( 13 nuitées) </t>
  </si>
  <si>
    <t xml:space="preserve">Evariste- CONGO Frais de l'hôtel du 06 au 07/06/ 2025 à Enyele (01 nuitée) </t>
  </si>
  <si>
    <t>Evariste- CONGO Frais de l'hôtel du 07 au 08/06/2025 à Gamboma (01 nuitée)</t>
  </si>
  <si>
    <t>Credit teléphonique MTN PALF/ Deuxième partie du mois de Juin 2025</t>
  </si>
  <si>
    <t>EV-J-R5</t>
  </si>
  <si>
    <t>media</t>
  </si>
  <si>
    <t>Cumul frais de transport local du mois de Juin 2025/ Evariste</t>
  </si>
  <si>
    <t>Somme de Receved in XAF</t>
  </si>
  <si>
    <t>Somme de Receved  $</t>
  </si>
  <si>
    <t>Achat eau mineral 10 Litres/Bureau</t>
  </si>
  <si>
    <t>Frais de transfert d'argent à  Evariste</t>
  </si>
  <si>
    <t>Bonus media portant sur l'interpallation de 03 trafiquants à Impfondo(Tele congo chaine nationale en langues françcaisn, Kituba et lingala</t>
  </si>
  <si>
    <t>Bonus media portant sur l'interpallation de 03 trafiquants à Impfondo ( Pièces presse internet, pièces presse papier et radio)</t>
  </si>
  <si>
    <t>Bonus media portant sur l'annonce de laudience du 19 Juin 2025 à Brazzaville et à Dolisie( Pièces presse internet, Pièces presse papier et radio)</t>
  </si>
  <si>
    <t>Congo</t>
  </si>
  <si>
    <t>Transfer Fees</t>
  </si>
  <si>
    <t>Operations</t>
  </si>
  <si>
    <t>Bonus to media officer</t>
  </si>
  <si>
    <t>ABRAHAM - CONGO food allowance du 12/02 au 01/03/2025 à Owando (02 Nuitées)</t>
  </si>
  <si>
    <t>ROMAIN - CONGO Ration du 15/02/ au 04/03/2025 à Owando(14 Nuitées)</t>
  </si>
  <si>
    <r>
      <t>Règlement loyer du mois de Février 2025/DOVI Coordinateur PALF</t>
    </r>
    <r>
      <rPr>
        <sz val="11"/>
        <color rgb="FFFF0000"/>
        <rFont val="Calibri"/>
        <family val="2"/>
        <charset val="238"/>
      </rPr>
      <t xml:space="preserve"> </t>
    </r>
  </si>
  <si>
    <r>
      <t>Ration et Frais d'hôtel mission à Owando de maitre Alain du 19 au 21/03/2025 suivi audience à Owando</t>
    </r>
    <r>
      <rPr>
        <sz val="11"/>
        <color rgb="FFFF0000"/>
        <rFont val="Calibri"/>
        <family val="2"/>
        <charset val="238"/>
      </rPr>
      <t xml:space="preserve"> </t>
    </r>
  </si>
  <si>
    <r>
      <t>achat carte sim</t>
    </r>
    <r>
      <rPr>
        <sz val="11"/>
        <color rgb="FFFF0000"/>
        <rFont val="Calibri"/>
        <family val="2"/>
        <charset val="238"/>
      </rPr>
      <t xml:space="preserve"> </t>
    </r>
  </si>
  <si>
    <r>
      <t>Cumul frais de transport local du mois de Mars 2025/Romain</t>
    </r>
    <r>
      <rPr>
        <sz val="11"/>
        <color rgb="FFFF0000"/>
        <rFont val="Calibri"/>
        <family val="2"/>
        <charset val="238"/>
      </rPr>
      <t xml:space="preserve"> </t>
    </r>
  </si>
  <si>
    <t>Publication</t>
  </si>
  <si>
    <t>closed grants from 2024</t>
  </si>
  <si>
    <t>Elonga</t>
  </si>
  <si>
    <t>Dahan</t>
  </si>
  <si>
    <t>Maison-Bureau</t>
  </si>
  <si>
    <t>Bureau-Maison</t>
  </si>
  <si>
    <t>Règlement loyer Juin 2025/Coordinateur</t>
  </si>
  <si>
    <t>Maison- Bureau</t>
  </si>
  <si>
    <t>Maison-Cabinet d'huissier</t>
  </si>
  <si>
    <t>Cabinet - Bureau</t>
  </si>
  <si>
    <t>Maison- Cabinet d'huissier</t>
  </si>
  <si>
    <t>Bureau- Interpol</t>
  </si>
  <si>
    <t>Interpol-Bureau</t>
  </si>
  <si>
    <t>Bureau-Cabinet d'huissier</t>
  </si>
  <si>
    <t>Cabinet d'huissier - Bureau</t>
  </si>
  <si>
    <t>Bureau-Hôtel PEFACO (rendez vous)</t>
  </si>
  <si>
    <t>Hôtel PEFACO -Bureau</t>
  </si>
  <si>
    <t>Bureau - Maison</t>
  </si>
  <si>
    <t>Bureau-Hyppocampe</t>
  </si>
  <si>
    <t>Aspinall-Bureau</t>
  </si>
  <si>
    <t>DH-JU-D1</t>
  </si>
  <si>
    <t>DH-JU-R1</t>
  </si>
  <si>
    <t>Taxi: Bureau-Domicile/crépin</t>
  </si>
  <si>
    <t>Taxi: Domicile-Bureau pour la signature des chèques des salaires/crépin</t>
  </si>
  <si>
    <t>Taxi: Ecole de police-Bureau/crépin</t>
  </si>
  <si>
    <t>Taxi: Domicile Mayanga-Marché Total pour le bureau après l'appel du Coordinateur/crépin</t>
  </si>
  <si>
    <t>Taxi: Marché Total-Bureau/crépin</t>
  </si>
  <si>
    <t>Taxi: Bureau-Marché Total/crépin</t>
  </si>
  <si>
    <t>Marché Total-Domicile Mayanga/crépin</t>
  </si>
  <si>
    <t>Taxi: Domicile-Marché Total pour rencontre avec la comptable/crépin</t>
  </si>
  <si>
    <t>Taxi: Marché Total-Domicile/crépin</t>
  </si>
  <si>
    <t>CR-JU-D1</t>
  </si>
  <si>
    <t>Taxi:  Bureau-Banque BCI/ Retrait relevé de compte bancaire du mois de Juin 2025</t>
  </si>
  <si>
    <t>Taxi:  Banque BCI - Bureau/ Retrait relevé de compte bancaire du mois de Juin 2025</t>
  </si>
  <si>
    <t>Taxi:  Bureau- Société de gardiennage/remis de chèque du mois de Juin 2025</t>
  </si>
  <si>
    <t>Taxi:  Societé de gardiennage  - Bureau/remis de chèque du mois de Juin 2025</t>
  </si>
  <si>
    <t xml:space="preserve">Taxi:  Domicile-Banque BCI/ Vérification des fonds dans le compte </t>
  </si>
  <si>
    <t xml:space="preserve">Taxi:  Banque BCI - Bureau/  Vérification des fonds dans le compte </t>
  </si>
  <si>
    <t>Taxi:  Bureau-Banque BCI/ Dépôt ordre de virement salaire du mois de Juin 2025</t>
  </si>
  <si>
    <t>Taxi:  Banque BCI - Bureau/ Dépôt ordre de virement salaire du mois de Juin 2025</t>
  </si>
  <si>
    <t>Taxi:  Bureau-Banque BCI</t>
  </si>
  <si>
    <t>Taxi:  Banque BCI - CNSS/Paiement CNSS deuxième  trimestre de l'année 2025</t>
  </si>
  <si>
    <t>Taxi: CNSS-Bureau</t>
  </si>
  <si>
    <t>Taxi:  Bureau- Direction MTN/Achat crédits  departement management</t>
  </si>
  <si>
    <t>Taxi:   Direction MTN- Domicile/Achat crédits  departement management</t>
  </si>
  <si>
    <t>Taxi:  Bureau-Banque BCI/ Verification de fonds dans le compte</t>
  </si>
  <si>
    <t>Taxi:  Banque BCI - CNSS/ vérification des cotisations dans les comptes des agents PALF</t>
  </si>
  <si>
    <t>Taxi: CNSS- Bureau/Pour les cours Banque et CNSS</t>
  </si>
  <si>
    <t>Taxi:  Bureau- Direction MTN/Achat crédits  departement legal/ Donald-Roméo</t>
  </si>
  <si>
    <t>Taxi:   Direction MTN- Domicile/Achat crédits  departement Legal/Donald-Roméo</t>
  </si>
  <si>
    <t>Taxi:  Banque BCI - Bureau/ Aprro caisse</t>
  </si>
  <si>
    <t>Taxi:  Bureau- Direction MTN/Transfert d'argent à Donald-Roméo</t>
  </si>
  <si>
    <t>Taxi:   Direction MTN- Bureau/ Transfert d'argent et Appros caisse</t>
  </si>
  <si>
    <t>Taxi:  Bureau- Cabinet d'avocat/Paiement des frais de notification cas Mervielle</t>
  </si>
  <si>
    <t>Taxi:  Cabinet d'Avocat - Bureau/Paiement des frais de notification cas Mervielle</t>
  </si>
  <si>
    <t>Taxi:  Bureau-Banque BCI/ Dépôt ordre de virement salaire du mois de Juillet 2025</t>
  </si>
  <si>
    <t>Taxi:  Banque BCI - Direction Energie Electrique du congo / Paiement facture d'Electricité du mois de Mai et Juin 2025</t>
  </si>
  <si>
    <t xml:space="preserve">Taxi: Direction Energie Electrique du congo-Bureau/ Paiement facture d'Electricité du mois de Mai et Juin 2025 </t>
  </si>
  <si>
    <t>Taxi:  Bureau- Cabinet maitre LOCKO/remis de chèque du mois de Juin 2025</t>
  </si>
  <si>
    <t>Taxi:  Cabinet maitre LOCKO - Domicile/remis de chèque du mois de Juin  2025</t>
  </si>
  <si>
    <t>Reglement prestation de nettoyage  PALF du mois de Juillet 2025</t>
  </si>
  <si>
    <t>Taxi: Bureau -Marché / Achat des Ampoules bureau PALF</t>
  </si>
  <si>
    <t>Taxi: Marché  - Bureau/ Achat de Ampoules bureau PALF</t>
  </si>
  <si>
    <t>Frais de notification affaire de merveille/ Maître OKEMBA NGABOMBA</t>
  </si>
  <si>
    <t>Taxi:Bureau- Direction Canal Box/ Paiement internet du mois de Juin 2025</t>
  </si>
  <si>
    <t>Taxi: Direction Canal Box-Bureau/ Paiement internet du mois de Juin 2025</t>
  </si>
  <si>
    <t>Reglement facture internet periode du 01/08 au 31/08/2025 bureau PALF</t>
  </si>
  <si>
    <t>Taxi:  Bureau- Direction MTN/Achat crédits  departement legal/ Romain; Roderlin et Abraham</t>
  </si>
  <si>
    <t>Taxi:   Direction MTN- Domicile/Achat crédits  departement Legal/Romain, Roderlin et Abraham</t>
  </si>
  <si>
    <t>P-JU-D1</t>
  </si>
  <si>
    <t>CA-JU-R1</t>
  </si>
  <si>
    <t>CA-JU-D1</t>
  </si>
  <si>
    <t>P-JU-R1</t>
  </si>
  <si>
    <t>CA-JU-R5</t>
  </si>
  <si>
    <t>CA-JU-R6</t>
  </si>
  <si>
    <t>CA-JU-R7</t>
  </si>
  <si>
    <t>CA-JU-R8</t>
  </si>
  <si>
    <t>CA-JU-R9</t>
  </si>
  <si>
    <t>CA-JU-R10</t>
  </si>
  <si>
    <t>CA-JU-R11</t>
  </si>
  <si>
    <t>CA-JU-R12</t>
  </si>
  <si>
    <t>CA-JU-R14</t>
  </si>
  <si>
    <t>Taxi:Bureau-Station SNPC Total/Achat carburant/Abraham</t>
  </si>
  <si>
    <t>Taxi:Station SNPC Total-Station X-oil Plateau Ville/Achat carburant/Abraham</t>
  </si>
  <si>
    <t>Taxi:Station X-oil Plateau Ville-Station SNPC Centre Ville/Achat carburant/Abraham</t>
  </si>
  <si>
    <t>Taxi:Station SNPC Ville-Station Total Matsoua/Achat carburant/Abraham</t>
  </si>
  <si>
    <t>Taxi:Station Total Matsoua-Station X-oil Patte d'oie/Achat carburant/Abraham</t>
  </si>
  <si>
    <t>Taxi: Station X-oil Patte d'oie-Bureau/Achat carburant/Abraham</t>
  </si>
  <si>
    <t>Credit teléphonique MTN PALF/ du 01 au 15 Août 2025/ Abraham</t>
  </si>
  <si>
    <t>AB-JU-D1</t>
  </si>
  <si>
    <t>CA-JU-R3</t>
  </si>
  <si>
    <t>CA-JU-R13</t>
  </si>
  <si>
    <t>AB-JU-R1</t>
  </si>
  <si>
    <t>COMPTA Roderlin-Juriste</t>
  </si>
  <si>
    <t>Taxi:Bureau-Centre ville pour la rencontrer maître Hélene</t>
  </si>
  <si>
    <t>Taxi:Centre ville-Bureau</t>
  </si>
  <si>
    <t xml:space="preserve">Taxi:Bureau-Cabinet BANZOUZI pour la rémise du chèque </t>
  </si>
  <si>
    <t>Taxi:Cabinet BANZOUZI-Domicile</t>
  </si>
  <si>
    <t>Achat eau mineral 10 Petite bouteille 0,6L/Bureau</t>
  </si>
  <si>
    <t>Taxi:Station marché total-Station rond-point moungali</t>
  </si>
  <si>
    <t>Taxi:Station rond point Moungali-Station 31 juillet Marché Moungali</t>
  </si>
  <si>
    <t>Taxi:Station marché moungali-Station 10 maisons</t>
  </si>
  <si>
    <t>Credit teléphonique MTN PALF du 01 au 15/Août 2025 /Roderlin</t>
  </si>
  <si>
    <t xml:space="preserve">Taxi:Bureau-TGI pour le suivi d'audience </t>
  </si>
  <si>
    <t>Taxii:TGI-Bureau</t>
  </si>
  <si>
    <t>RO-JU-D1</t>
  </si>
  <si>
    <t>CA-JU-R2</t>
  </si>
  <si>
    <t>CA-JU-R4</t>
  </si>
  <si>
    <t>RO-JU-R1</t>
  </si>
  <si>
    <t>Taxi Bureau-Agence trans Bony/ Reservation du billet</t>
  </si>
  <si>
    <t>Taxi agence Trans Bony-Domicile</t>
  </si>
  <si>
    <t>Taxi Domicile-Agence trans Bony/ Pour Owando</t>
  </si>
  <si>
    <t>Taxi Agence Trans Bony d'Owando-Hôtel case mbali</t>
  </si>
  <si>
    <t>Donald-Roméo CONGO Ration  du  23 au 25/07/2025 à Owando</t>
  </si>
  <si>
    <t>Taxi moto Hôtel Case Mbali-TGI</t>
  </si>
  <si>
    <t>Taxi moto TGI- Agence Trans Bony/ Reserver les billets retour</t>
  </si>
  <si>
    <t>Taxi moto Agence trans Bony- Hôtel Case Mbali</t>
  </si>
  <si>
    <t>Donald Roméo-CONGO Frais d'hôtel du  23 au 25/07/2025 à Owando (02 Nuitées)</t>
  </si>
  <si>
    <t xml:space="preserve">Taxi moto Hôtel Case mbali-Agens trans Bony </t>
  </si>
  <si>
    <t>Taxi bureau-Section de Recherches</t>
  </si>
  <si>
    <t>Taxi Section de Recherches-bureau</t>
  </si>
  <si>
    <t>DR-JU-R1</t>
  </si>
  <si>
    <t>DR-JU-D2</t>
  </si>
  <si>
    <t>DR-JU-R2</t>
  </si>
  <si>
    <t>DR-JU-D1</t>
  </si>
  <si>
    <t>DR-JU-R3</t>
  </si>
  <si>
    <t>DR-JU-R4</t>
  </si>
  <si>
    <t>Taxi, Bureau PALF-CNSS</t>
  </si>
  <si>
    <t>Taxi, Bureau PALF-Les Dépêches de Brazzaville</t>
  </si>
  <si>
    <t>Taxi, Les Dépêches de Brazzaville-Radio Citoyenne des Jeunes</t>
  </si>
  <si>
    <t>Bonus media portant sur la condamnation ferme de 03 trafiquants de produits de la faune le 26 Juin 2025 à Impfondo presse Radio citoyenne des jeunes</t>
  </si>
  <si>
    <t>Taxi, groupecongomedias.com-panoramik-atu.com</t>
  </si>
  <si>
    <t>Taxi, panoramik-actu.com-tribune-eco.com</t>
  </si>
  <si>
    <t>Taxi, tribune-eco.com-firstmediac.com</t>
  </si>
  <si>
    <t>Taxi, firstmediac.com-lesechos-congobrazza.com</t>
  </si>
  <si>
    <t>Taxi, lesechos-congobrazza.com-Agence Congolaise de l'Information</t>
  </si>
  <si>
    <t>Taxi, Agence Congolaise de l'Information-opinionpublique.cg</t>
  </si>
  <si>
    <t>Taxi, opinionpublique.cg-Bureau PALF</t>
  </si>
  <si>
    <t>EV-JU-D1</t>
  </si>
  <si>
    <t>CA-JU-D2</t>
  </si>
  <si>
    <t>CA-JU-D3</t>
  </si>
  <si>
    <t>CA-JU-D4</t>
  </si>
  <si>
    <t>Taxi: Bureau-marché Total/ à la rencontre de maître Hélène</t>
  </si>
  <si>
    <t>Taxi: Marché Total-Domicile</t>
  </si>
  <si>
    <t>RM-JU-D1</t>
  </si>
  <si>
    <t>RM-JU-R1</t>
  </si>
  <si>
    <t xml:space="preserve">Office </t>
  </si>
  <si>
    <t>Solde  honoraire contrat n°84 Impfondo cas MBEKELE ET CONSORTS/ Maître BANZOUZI Alain/3654886</t>
  </si>
  <si>
    <t>BQ-JU-R1</t>
  </si>
  <si>
    <t>Solde honoraire contrat N°49_Brazzaville cas BIHONDA Jean-LeBOUCK/Maitre Marie Hélène NANITELAMIO MALONGA/ 3654887</t>
  </si>
  <si>
    <t>BQ-JU-R2</t>
  </si>
  <si>
    <t>Reglement Facture Gardiennage Mois de Juin 2025/3654888</t>
  </si>
  <si>
    <t>BQ-JU-R3</t>
  </si>
  <si>
    <t>BQ-JU-R4</t>
  </si>
  <si>
    <t>RAPATRIEME01100 RAO00010859/OAT</t>
  </si>
  <si>
    <t>BQ-JU-G1</t>
  </si>
  <si>
    <t>Reglement honoraire du mois de de Juin 2025/P29/36548890</t>
  </si>
  <si>
    <t>BQ-JU-R5</t>
  </si>
  <si>
    <t>Reglement honoraire du mois de Juin 2025/T73/3654892</t>
  </si>
  <si>
    <t>BQ-JU-R6</t>
  </si>
  <si>
    <t>Reglement honoraire du mois de Juin 2025/IT87/3654895</t>
  </si>
  <si>
    <t>BQ-JU-R7</t>
  </si>
  <si>
    <t>Reglement honoraire du mois de Juin 2025/G12/3654894</t>
  </si>
  <si>
    <t>BQ-JU-R8</t>
  </si>
  <si>
    <t>BQ-JU-R9</t>
  </si>
  <si>
    <t>BQ-JU-R10</t>
  </si>
  <si>
    <t>Paiement salaire du mois de Juin 2025/Crepin IBOUILI-IBOUILI</t>
  </si>
  <si>
    <t>BQ-JU-R11</t>
  </si>
  <si>
    <t>Paiement salaire du mois de Juin 2025/PINDI BINGA Donald- Roméo</t>
  </si>
  <si>
    <t>BQ-JU-R12</t>
  </si>
  <si>
    <t>Paiement salaire du mois de  Juin 2025/Evariste LELOUSSI</t>
  </si>
  <si>
    <t>BQ-JU-R13</t>
  </si>
  <si>
    <t>BQ-JU-R14</t>
  </si>
  <si>
    <t>BQ-JU-R15</t>
  </si>
  <si>
    <t>Frais de virement des salaire du mois Juillet 2025</t>
  </si>
  <si>
    <t>BQ-JU-R16</t>
  </si>
  <si>
    <t>BQ-JU-R17</t>
  </si>
  <si>
    <t>Paiement CNSS deuxième trimestre/Avril, Mai et Juin 2025/Crepin /3654899</t>
  </si>
  <si>
    <t>BQ-JU-R18</t>
  </si>
  <si>
    <t>Paiement CNSS deuxième trimestre/Avril, Mai et Juin 2025/Donald-Roméo/3654899</t>
  </si>
  <si>
    <t>BQ-JU-R19</t>
  </si>
  <si>
    <t>Paiement CNSS deuxième trimestre/Avril, Mai et Juin 2025/Romain/3654899</t>
  </si>
  <si>
    <t>BQ-JU-R20</t>
  </si>
  <si>
    <t>Paiement CNSS deuxième trimestre/Avril, Mai et Juin 2025/Roderlin/3654899</t>
  </si>
  <si>
    <t>BQ-JU-R21</t>
  </si>
  <si>
    <t>Paiement CNSS deuxième trimestre/Avril, Mai et Juin 2025/Abraham/3654899</t>
  </si>
  <si>
    <t>BQ-JU-R22</t>
  </si>
  <si>
    <t>Paiement CNSS deuxième trimestre/Avril, Mai et Juin 2025/Parfaite/3654899</t>
  </si>
  <si>
    <t>BQ-JU-R23</t>
  </si>
  <si>
    <t>Paiement CNSS deuxième trimestre/Avril, Mai et Juin 2025/Evariste/3654899</t>
  </si>
  <si>
    <t>BQ-JU-R24</t>
  </si>
  <si>
    <t>RAPATRIEME01100 RAO00010768/Fondation Elonga</t>
  </si>
  <si>
    <t>Paiement salaire du mois de Juillet 2025/BAVOUMINA NZOUSSI Dina Parfaite/3654406</t>
  </si>
  <si>
    <t>BQ-JU-R26</t>
  </si>
  <si>
    <t>Paiement salaire du mois de Juillet 2025/FOUMBA Roderlin/3654404</t>
  </si>
  <si>
    <t>BQ-JU-R27</t>
  </si>
  <si>
    <t>Paiement salaire du mois de Juillet 2025/BOUNGOU MAKOSSO Abraham/3654403</t>
  </si>
  <si>
    <t>BQ-JU-R28</t>
  </si>
  <si>
    <t>Paiement salaire du mois de Juillet 2025/Crepin IBOUILI-IBOUILI</t>
  </si>
  <si>
    <t>BQ-JU-R29</t>
  </si>
  <si>
    <t>Paiement salaire du mois de Juillet 2025/PINDI BINGA Donald- Roméo</t>
  </si>
  <si>
    <t>BQ-JU-R30</t>
  </si>
  <si>
    <t>Paiement salaire du mois de  Juillet 2025/Evariste LELOUSSI</t>
  </si>
  <si>
    <t>BQ-JU-R31</t>
  </si>
  <si>
    <t>Paiement salaire du mois de Juillet 2025/LOUNDOU JeanRomain/3654405</t>
  </si>
  <si>
    <t>BQ-JU-R32</t>
  </si>
  <si>
    <t>OUI</t>
  </si>
  <si>
    <t>Frais de virement des salaire du mois Juin 2025</t>
  </si>
  <si>
    <t>BQ-JU-R33</t>
  </si>
  <si>
    <t>Solde honoraire contrat N°76_Owando cas EBI Aimé brichly/Maitre Marie Hélène NANITELAMIO MALONGA/ 3654408</t>
  </si>
  <si>
    <t>BQ-JU-R34</t>
  </si>
  <si>
    <t>Reglement honoraire du mois de de Juin 2025/P29/3654409</t>
  </si>
  <si>
    <t>BQ-JU-R35</t>
  </si>
  <si>
    <t>Reglement honoraire du mois de Juin 2025/T73/3654410</t>
  </si>
  <si>
    <t>BQ-JU-R36</t>
  </si>
  <si>
    <t>BQ-JU-G2</t>
  </si>
  <si>
    <t>Releve</t>
  </si>
  <si>
    <t>ELONGA</t>
  </si>
  <si>
    <t>févr</t>
  </si>
  <si>
    <t>mars</t>
  </si>
  <si>
    <t>avr</t>
  </si>
  <si>
    <t>mai</t>
  </si>
  <si>
    <t>juin</t>
  </si>
  <si>
    <t>janv</t>
  </si>
  <si>
    <t>juil</t>
  </si>
  <si>
    <t>Credit teléphonique MTN PALF/ du 16 au 31 Juillet 2025/ DOVI</t>
  </si>
  <si>
    <t>DH-JU-R2</t>
  </si>
  <si>
    <r>
      <t>Balance as per the</t>
    </r>
    <r>
      <rPr>
        <b/>
        <sz val="12"/>
        <color rgb="FFFF0000"/>
        <rFont val="Aptos Narrow"/>
        <family val="2"/>
        <scheme val="minor"/>
      </rPr>
      <t xml:space="preserve"> accounting</t>
    </r>
  </si>
  <si>
    <t>Credit teléphonique MTN PALF/du 01au 08 Août  2025/Romain</t>
  </si>
  <si>
    <t xml:space="preserve"> Frais de prestation de nettoyage du jardin PALF/ Juin 2025</t>
  </si>
  <si>
    <t>Remboursement frais de certificat d'Hébergement(Valentina et Martina) du 27/06/2025</t>
  </si>
  <si>
    <t>Credit téléphonique MTN PALF/ du 16 au 31 Juillet 2025/ Parfaite</t>
  </si>
  <si>
    <t>Frais de transfert d'argent à  Donald-Roméo</t>
  </si>
  <si>
    <t>Réglement facture électricité de la période Mai-Juin 2025/bureau PALF</t>
  </si>
  <si>
    <t xml:space="preserve"> Frais de prestation de nettoyage du jardin PALF Juillet 2025</t>
  </si>
  <si>
    <t>Frais de ramassage d' ordures Juillet 2025</t>
  </si>
  <si>
    <t>Achat de 05 ampoules à crochet</t>
  </si>
  <si>
    <t>Bonus média portant sur la condamnation ferme de 03 trafiquants de produits de la faune le 26 Juin 2025 à Impfondo pièces presse Internet</t>
  </si>
  <si>
    <t>Bonus média portant sur la condamnation ferme de 03 trafiquants de produits de la faune le 26 Juin 2025 à Impfondo pièces presse papier(les depêches de brazzaville, l'horizon africain, l'agence congolaise de l'information</t>
  </si>
  <si>
    <t>Credit téléphonique MTN PALF/du 22 au 31 Juillet 2025/Donald-Roméo</t>
  </si>
  <si>
    <t>Taxi: Domicile-Bureau pour signature des pièces comptables/crépin</t>
  </si>
  <si>
    <t>Paiement salaire du mois de Juin 2025/FOUMBA Roderlin/3654900</t>
  </si>
  <si>
    <t>Paiement salaire du mois de Juin 2025/BAVOUMINA NZOUSSI Dina Parfaite/365897</t>
  </si>
  <si>
    <t>Paiement salaire du mois de Juin 2025/BOUNGOU MAKOSSO Abraham/3654896</t>
  </si>
  <si>
    <t>Paiement salaire du  01 au 18 Juin 2025/Homéfa DOVI/3654898</t>
  </si>
  <si>
    <t>Paiement salaire du 19 au 30 Juin 2025/Homéfa DOVI/3654898</t>
  </si>
  <si>
    <t>Août</t>
  </si>
  <si>
    <t>Report au 01/08/2025</t>
  </si>
  <si>
    <t>Achat credit  teléphonique MTN/PALF/DU 07 au 10/08/2025 Departement investigation</t>
  </si>
  <si>
    <t>CA-AU-V2</t>
  </si>
  <si>
    <t>CA-AU-V3</t>
  </si>
  <si>
    <t>CA-AU-V4</t>
  </si>
  <si>
    <t>CA-AU-V5</t>
  </si>
  <si>
    <t>CA-AU-V6</t>
  </si>
  <si>
    <t>BCI3654415</t>
  </si>
  <si>
    <t>CA-AU-V7</t>
  </si>
  <si>
    <t>CA-AU-V8</t>
  </si>
  <si>
    <t>CA-AU-V9</t>
  </si>
  <si>
    <t>CA-AU-V10</t>
  </si>
  <si>
    <t>CA-AU-V11</t>
  </si>
  <si>
    <t>CA-AU-V12</t>
  </si>
  <si>
    <t>CA-AU-V13</t>
  </si>
  <si>
    <t>BCI3654412</t>
  </si>
  <si>
    <t>CA-AU-V14</t>
  </si>
  <si>
    <t>CA-AU-V15</t>
  </si>
  <si>
    <t>CA-AU-V16</t>
  </si>
  <si>
    <t>Achat de 10 ampoule à crochet</t>
  </si>
  <si>
    <t>CA-AU-R1</t>
  </si>
  <si>
    <t>CA-AU-V17</t>
  </si>
  <si>
    <t>Achat credit  teléphonique MTN/PALF/DU 14 au 17/08/2025 Crépin, Donald-Roméo, Evariste, P29 et T73</t>
  </si>
  <si>
    <t>CA-AU-V18</t>
  </si>
  <si>
    <t>CA-AU-V19</t>
  </si>
  <si>
    <t>CA-AU-V20</t>
  </si>
  <si>
    <t>CA-AU-V21</t>
  </si>
  <si>
    <t>CA-AU-V22</t>
  </si>
  <si>
    <t>Frais de tansfert d'argent à crépin, Donald-Roméo, Evariste, P29 et T73</t>
  </si>
  <si>
    <t>CA-AU-R2</t>
  </si>
  <si>
    <t>BCI3654417</t>
  </si>
  <si>
    <t>CA-AU-V23</t>
  </si>
  <si>
    <t>Reglement assurance retraite Coordinateur periode Janvier-Février- Mars- Avril-Mai - Juin 2025</t>
  </si>
  <si>
    <t>CA-AU-R3</t>
  </si>
  <si>
    <t>Achat credit  teléphonique MTN/PALF/ du 18 au 31 Août 2025</t>
  </si>
  <si>
    <t>Achat credit  teléphonique Airtel/PALF/du 18 au 31 Août2025</t>
  </si>
  <si>
    <t>CA-AU-V24</t>
  </si>
  <si>
    <t>CA-AU-V25</t>
  </si>
  <si>
    <t>CA-AU-V26</t>
  </si>
  <si>
    <t>CA-AU-V27</t>
  </si>
  <si>
    <t>Frais de notification contrat Romain</t>
  </si>
  <si>
    <t>CA-AU-R4</t>
  </si>
  <si>
    <t>Achat produit d'entretien lait,sucre,javel,papier toilette,sac poubelle,savon/Bureau PALF</t>
  </si>
  <si>
    <t>CA-AU-R5</t>
  </si>
  <si>
    <t>CA-AU-V28</t>
  </si>
  <si>
    <t>CA-AU-V29</t>
  </si>
  <si>
    <t>Frais de tansfert d'argent à G12 et IT87</t>
  </si>
  <si>
    <t>CA-AU-R6</t>
  </si>
  <si>
    <t>Achat carburant groupe electrogène Bureau et le frais de recharge</t>
  </si>
  <si>
    <t>CA-AU-R7</t>
  </si>
  <si>
    <t>BCI3654419</t>
  </si>
  <si>
    <t>CA-AU-V30</t>
  </si>
  <si>
    <t>CA-AU-V31</t>
  </si>
  <si>
    <t>CA-AU-V32</t>
  </si>
  <si>
    <t>CA-AU-V33</t>
  </si>
  <si>
    <t>CA-AU-V34</t>
  </si>
  <si>
    <t>Frais de tansfert d'argent à crépin, Donald-Roméo, Evariste et P29</t>
  </si>
  <si>
    <t>CA-AU-R8</t>
  </si>
  <si>
    <t>CA-AU-V35</t>
  </si>
  <si>
    <t>CA-AU-V36</t>
  </si>
  <si>
    <t>Achat chaise  bureau PALF</t>
  </si>
  <si>
    <t>CA-AU-R9</t>
  </si>
  <si>
    <t>Frais de reparation chaise bureau PALF</t>
  </si>
  <si>
    <t>CA-AU-R10</t>
  </si>
  <si>
    <t>CA-AU-V37</t>
  </si>
  <si>
    <t>CA-AU-V38</t>
  </si>
  <si>
    <t>Frais de tansfert d'argent à T73 et P29</t>
  </si>
  <si>
    <t>CA-AU-R11</t>
  </si>
  <si>
    <t>Bonus media portant sur le bilan des activités PALF de Janvier à Juillet pièces presse Internet</t>
  </si>
  <si>
    <t>CA-AU-D1</t>
  </si>
  <si>
    <t>Bonus media portant sur le bilan des activités PALF de Janvier à Juillet pièces presse Papier</t>
  </si>
  <si>
    <t>CA-AU-D2</t>
  </si>
  <si>
    <t>Bonus media portant sur le bilan des activités PALF de Janvier à Juillet pièces Radio</t>
  </si>
  <si>
    <t>CA-AU-D3</t>
  </si>
  <si>
    <t>Frais de tansfert d'argent à Evariste</t>
  </si>
  <si>
    <t>CA-AU-R12</t>
  </si>
  <si>
    <t>Achat eau mineral 10 LITRES/Bureau</t>
  </si>
  <si>
    <t>CA-AU-R13</t>
  </si>
  <si>
    <t>Frais de transport mission Maitre Alain à Impfondo du 28 /08au 01/09/2025</t>
  </si>
  <si>
    <t>CA-AU-R14</t>
  </si>
  <si>
    <t>Ration et frais d'hotel mission maitre Alain à Impfondo du 28/08 au 01/09/2025</t>
  </si>
  <si>
    <t>CA-AU-R15</t>
  </si>
  <si>
    <t>CA-AU-V39</t>
  </si>
  <si>
    <t xml:space="preserve"> Frais de prestation de nettoyage jardin PALF Août 2025</t>
  </si>
  <si>
    <t>CA-AU-R16</t>
  </si>
  <si>
    <t>Reglement prestation de nettoyage  PALF du mois de Août 2025</t>
  </si>
  <si>
    <t>CA-AU-R17</t>
  </si>
  <si>
    <t>CA-AU-V40</t>
  </si>
  <si>
    <t>CA-AU-V41</t>
  </si>
  <si>
    <t>CA-AU-V42</t>
  </si>
  <si>
    <t>CA-AU-V43</t>
  </si>
  <si>
    <t xml:space="preserve">Frais de tansfert d'argent à crépin, Donald-Roméo et Evariste </t>
  </si>
  <si>
    <t>CA-AU-R18</t>
  </si>
  <si>
    <t>Frais de ramassage Ordure d'Août 2025</t>
  </si>
  <si>
    <t>CA-AU-R19</t>
  </si>
  <si>
    <t>Reglement facture internet periode du 01/09 au 30/09/2025 bureau PALF</t>
  </si>
  <si>
    <t>CA-AU-R20</t>
  </si>
  <si>
    <t>Bonus medias(TV Congo) portant sur l'interpetation d'une trafiquante de produit de  faune le 25 Août Août 2025 à Impfondo pieces télé Congo français, kituba, lingala et montages</t>
  </si>
  <si>
    <t>CA-AU-D4</t>
  </si>
  <si>
    <t>CA-AU-V44</t>
  </si>
  <si>
    <t>CA-AU-R21</t>
  </si>
  <si>
    <t>CA-AU-V45</t>
  </si>
  <si>
    <t>CA-AU-V46</t>
  </si>
  <si>
    <t>Maison - Bureau</t>
  </si>
  <si>
    <t>Bureau -Maison</t>
  </si>
  <si>
    <t>Règlement loyer Juillet 2025/Coordinateur</t>
  </si>
  <si>
    <t>Prêt caisse/DOVI</t>
  </si>
  <si>
    <t>Reçu caisse/ DOVI</t>
  </si>
  <si>
    <t>Credit telephonique MTN/PALF/ du 18 au 31 Aout 2025/DOVI</t>
  </si>
  <si>
    <t>Reçu de caisse/Crepin</t>
  </si>
  <si>
    <t>Billet: Brazzaville-Impfondo</t>
  </si>
  <si>
    <t>Taxi: Mfilou Camp Militaire-Agence Océan du Nord Talangai</t>
  </si>
  <si>
    <t>Taxi moto: Agence Océan du Nord Oyo-Hôtel Saint Bénoit</t>
  </si>
  <si>
    <t>CREPIN-CONGO Ration du 14/08 au 02/09/2025 à  Impfondo</t>
  </si>
  <si>
    <t>Travel subsistence</t>
  </si>
  <si>
    <t>CREPIN-CONGO-Frais d'hôtel du 14 au 15/08/2025 à Oyo (01 Nuitée)</t>
  </si>
  <si>
    <t>Taxi moto: Hôtel Saint Bénoit-Agence Océan</t>
  </si>
  <si>
    <t>Taxi moto: Agence Océan Enyéllé-Hôtel La Paulina</t>
  </si>
  <si>
    <t>Credit telephonique MTN PALF/du 14 au 17 Août 2025</t>
  </si>
  <si>
    <t>CREPIN-CONGO-Frais d'hôtel  du 15 au 16/08/2025 à Enyellé (01 Nuitée)</t>
  </si>
  <si>
    <t>Taxi moto: Hôtel Polina-Agence Océan du nord</t>
  </si>
  <si>
    <t>Taxi moto: Agence Océan d'Impfondo-Hôtel Mithé</t>
  </si>
  <si>
    <t>Credit telephonique MTN PALF/ du 18 au 31 Août 2025</t>
  </si>
  <si>
    <t>Credit telephonique Airtel PALF/ du 18 au 31 Août 2025</t>
  </si>
  <si>
    <t>Taxi moto: Hôtel Mithé-DDEF pour rencontre avec le DD par intérim</t>
  </si>
  <si>
    <t>Taxi moto: DDEF-Parquet pour rencontre avec le Procureur.</t>
  </si>
  <si>
    <t>Taxi moto: Gendarmerie-Hôtel Mithé</t>
  </si>
  <si>
    <t>Taxi moto: Hôtel Mithé-Hôtel Tropicana pour repérage</t>
  </si>
  <si>
    <t>Taxi moto: Environs Hôtel Tropicana-DDEF pour la lettre de sollicitude de concours de la gendarmerie</t>
  </si>
  <si>
    <t>Taxi moto: DDEF-Gendarmerie pour dépôt de la demande de concours</t>
  </si>
  <si>
    <t>CREPIN-CONGO Frais d'hôtel du 16 au 23/08/2025 à Impfondo (07 Nuitées)</t>
  </si>
  <si>
    <t>Taxi moto: Hôtel Mithé-Hôtel Tropicana pour occupation de la chambre pour opération</t>
  </si>
  <si>
    <t>Taxi moto: Hôtel Tropicana-Hôtel Mithé pour briefing équipe PALF.</t>
  </si>
  <si>
    <t>Taxi moto: Hôtel Mithé-Hôtel Tropicana</t>
  </si>
  <si>
    <t>Taxi moto: Hôtel Tropicana-Gendarmerie pour briefing autorités</t>
  </si>
  <si>
    <t>05 Taxis motos pour 04 gendarmes et moi: Gendarmerie-Hôtel Tropicana pour positionnement</t>
  </si>
  <si>
    <t>Raffraichissements pendant l'attente de l'opération avec 04 gendarmes en civli</t>
  </si>
  <si>
    <t>Operation</t>
  </si>
  <si>
    <t>Taxi moto: Hôtel Mithé-Gendarmerie</t>
  </si>
  <si>
    <t>Bonus pour 16 gendarmes ayant participé à l'opération</t>
  </si>
  <si>
    <t>Bonus pour 02 EF ayant participé à l'opération</t>
  </si>
  <si>
    <t>Taxi moto: Gendarmerie-Hôtel</t>
  </si>
  <si>
    <t>Taxi moto: Hôtel-Gendarmerie</t>
  </si>
  <si>
    <t>Taxi moto: Hôtel-Parquet</t>
  </si>
  <si>
    <t>Taxi moto: Parquet-Hôtel</t>
  </si>
  <si>
    <t>CR-AU-V1</t>
  </si>
  <si>
    <t>CR-AU-R1</t>
  </si>
  <si>
    <t>CR-AU-D1</t>
  </si>
  <si>
    <t>CR-AU-D2</t>
  </si>
  <si>
    <t>CR-AU-V2</t>
  </si>
  <si>
    <t>CR-AU-V3</t>
  </si>
  <si>
    <t>CR-AU-V4</t>
  </si>
  <si>
    <t>DH-AU-D1</t>
  </si>
  <si>
    <t>DH-AU-R1</t>
  </si>
  <si>
    <t>DH-AU-V1</t>
  </si>
  <si>
    <t>DH-AU-V2</t>
  </si>
  <si>
    <t>DH-AU-R2</t>
  </si>
  <si>
    <t>DH-AU-V3</t>
  </si>
  <si>
    <t>Taxi:  Bureau-Banque BCI/ Retrait relevé de compte bancaire du mois de Juillet 2025</t>
  </si>
  <si>
    <t>Taxi:  Banque BCI - Bureau/ Retrait relevé de compte bancaire du mois de Juillet 2025</t>
  </si>
  <si>
    <t>Taxi:  Bureau-Banque BCI/ Vérification des fonds dans le compte bancaire PALF</t>
  </si>
  <si>
    <t>Taxi:  Banque BCI - Bureau/Verification des fonds dans le compte bancaire PALF</t>
  </si>
  <si>
    <t>Taxi:  Bureau- Société de gardiennage/remis de chèque du mois de Juillet 2025</t>
  </si>
  <si>
    <t>Taxi:  Societé de gardiennage  - Bureau/remis de chèque du mois de Juillet 2025</t>
  </si>
  <si>
    <t>Taxi:  Bureau- Direction MTN/Achat crédits  departement Investigation</t>
  </si>
  <si>
    <t>Taxi:   Direction MTN- Domicile/Achat crédits  departement Investigation</t>
  </si>
  <si>
    <t>Taxi:  Bureau-Banque BCI/ Appro caisse PALF</t>
  </si>
  <si>
    <t>Taxi:  Banque BCI - Bureau/Appro caisse  PALF</t>
  </si>
  <si>
    <t>Taxi: Bureau -Marché Moungali/ Achat des Ampoules bureau PALF</t>
  </si>
  <si>
    <t>Taxi: Marché Moungali - Bureau/ Achat de Ampoules bureau PALF</t>
  </si>
  <si>
    <t>Taxi:  Domicile- Direction MTN/Achat crédits  pour les agents en mission d'Impfondo</t>
  </si>
  <si>
    <t>Taxi:   Direction MTN- Domicile/Achat crédits Achat crédits pour les agents en mission d'Impfondo</t>
  </si>
  <si>
    <t>Taxi:  Bureau-Banque BCI/ Aprro caisse</t>
  </si>
  <si>
    <t>Taxi:  Banque- Direction MTN/Achat credit de l'equipe PALF</t>
  </si>
  <si>
    <t>Taxi:   Direction MTN- Bureau/Achat credit de l'equipe PALF</t>
  </si>
  <si>
    <t>Credit teléphonique MTN PALF/ du 18 au 31 Août 2025/ Parfaite</t>
  </si>
  <si>
    <t>Taxi:  Bureau- Cabinet d'avocat/Depot  de notification de suspension contat Mervielle</t>
  </si>
  <si>
    <t>Taxi:  Cabinet d'Avocat - Banque/Paiement frais de notification contrat romain ACPE</t>
  </si>
  <si>
    <t xml:space="preserve">Taxi:  Banque-Bureau /Paiement frais de notification contrat romain ACPE </t>
  </si>
  <si>
    <t>Taxi: Bureau - Super Marché / Achat produit d'entretien  bureau PALF</t>
  </si>
  <si>
    <t>Taxi: Super Marché  - Bureau/ Achat produit d'entretien  bureau PALF</t>
  </si>
  <si>
    <t>Taxi: Bureau - Charden Farell/transfert d'argent à G12 et IT87</t>
  </si>
  <si>
    <t>Taxi: Charden Farell- Bureau/transferft d'argent</t>
  </si>
  <si>
    <t>Taxi:  Bureau-Banque BCI/Appro caisse</t>
  </si>
  <si>
    <t xml:space="preserve">Taxi: Banque BCI- Charden farell/ transfert d'argent </t>
  </si>
  <si>
    <t>Taxi: Charden Farell- Bureau/ Transfert d'argent</t>
  </si>
  <si>
    <t>Taxi: Bureau - Charden Farell/ verification des fonds envoyer a impfondo</t>
  </si>
  <si>
    <t>Taxi: Charden Farell- Bureau/verification de fond envoyer à Impfondo</t>
  </si>
  <si>
    <t>Taxi:  Bureau-Banque BCI/ Dépôt ordre de virement salaire du mois d'Août 2025</t>
  </si>
  <si>
    <t>Taxi:  Banque BCI - Direction MTN /Transfert d'argent à P29 et T73</t>
  </si>
  <si>
    <t xml:space="preserve">Taxi: Direction MTN-Bureau/ </t>
  </si>
  <si>
    <t>Taxi: Bureau - Charden Farell/transfert d'argent à Crépin , Evariste et Donald-Roméo</t>
  </si>
  <si>
    <t>Taxi:Bureau- Direction Canal Box/ Paiement internet du mois deSeptembre2025</t>
  </si>
  <si>
    <t>Taxi: Direction Canal Box-Bureau/ Paiement internet du mois de Septembre 2025</t>
  </si>
  <si>
    <t>P-AU-D1</t>
  </si>
  <si>
    <t>P-AU-V1</t>
  </si>
  <si>
    <t>P-AU-V2</t>
  </si>
  <si>
    <t>P-AU-R1</t>
  </si>
  <si>
    <t>P-AU-V3</t>
  </si>
  <si>
    <t>Taxi bureau-moungali,prospection</t>
  </si>
  <si>
    <t>Taxi moungali-mapassi,prospection</t>
  </si>
  <si>
    <t>Taxi mapassi-la fleur,prospection</t>
  </si>
  <si>
    <t>Taxi la fleur -domicile</t>
  </si>
  <si>
    <t>Taxi domicile-bouro,prospection</t>
  </si>
  <si>
    <t>Taxi bouro-sai sai,prospection</t>
  </si>
  <si>
    <t>Taxi sai sai -bureau</t>
  </si>
  <si>
    <t>Taxi moto angola-tossagana,pour réperage</t>
  </si>
  <si>
    <t>Taxi tricycle tossagana-hotel</t>
  </si>
  <si>
    <t>Credit telephonique MTN PALF/ du 07 au 10 Août 2025/ Investigation/P29</t>
  </si>
  <si>
    <t>investigation</t>
  </si>
  <si>
    <t>Achat boisson à un cible</t>
  </si>
  <si>
    <t>Retour caisse/P29</t>
  </si>
  <si>
    <t>Reçu  caisse/P29</t>
  </si>
  <si>
    <t>Credit telephonique MTN PALF/ du 18 au 31 Août 2025/ Investigation/P29</t>
  </si>
  <si>
    <t>Credit telephonique Airtel PALF/ du18 au 31 Août 2025/ Investigation/P29</t>
  </si>
  <si>
    <t>P29-AU-R1</t>
  </si>
  <si>
    <t>P29-AU-D1</t>
  </si>
  <si>
    <t>P29-AU-D2</t>
  </si>
  <si>
    <t>P29-AU-V1</t>
  </si>
  <si>
    <t>P29-AU-V2</t>
  </si>
  <si>
    <t>P29-AU-R2</t>
  </si>
  <si>
    <t>P29-AU-D3</t>
  </si>
  <si>
    <t>P29-AU-R3</t>
  </si>
  <si>
    <t>P29-AU-R4</t>
  </si>
  <si>
    <t>P29-AU-R5</t>
  </si>
  <si>
    <t>P29-AU-V3</t>
  </si>
  <si>
    <t>P29-AU-R6</t>
  </si>
  <si>
    <t>P29-AU-R7</t>
  </si>
  <si>
    <t>P29-AU-V4</t>
  </si>
  <si>
    <t>P29-AU-R8</t>
  </si>
  <si>
    <t>P29-AU-R9</t>
  </si>
  <si>
    <t>P29-AU-V5</t>
  </si>
  <si>
    <t>P29-AU-R10</t>
  </si>
  <si>
    <t>P29-AU-R11</t>
  </si>
  <si>
    <t>P29-AU-R12</t>
  </si>
  <si>
    <t>P29-AU-R13</t>
  </si>
  <si>
    <t>Credit telephonique MTN PALF/ du 07 au 10 Août 2025/ Investigation/T73</t>
  </si>
  <si>
    <t>taxi : moungali - domicile (prospection à Brazzaville)</t>
  </si>
  <si>
    <t>Reçu caisse/T73</t>
  </si>
  <si>
    <t>achat boisson ( une cible)</t>
  </si>
  <si>
    <t>Taxi : Agence céan- hotel</t>
  </si>
  <si>
    <t>Taxi : hotel - agence océan du nord</t>
  </si>
  <si>
    <t>Taxi moto : agence océan - hotel</t>
  </si>
  <si>
    <t>Credit telephonique MTN PALF/ du 14 au 17 Août 2025/ Investigation/T73</t>
  </si>
  <si>
    <t>Taxi moto : hotel - agence océan du nord</t>
  </si>
  <si>
    <t>T73-AU-R1</t>
  </si>
  <si>
    <t>T73-AU-D1</t>
  </si>
  <si>
    <t>T73-AU-V1</t>
  </si>
  <si>
    <t>T73-AU-D2</t>
  </si>
  <si>
    <t>T73-AU-V2</t>
  </si>
  <si>
    <t>T73-AU-R2</t>
  </si>
  <si>
    <t>T73-AU-D3</t>
  </si>
  <si>
    <t>T73-AU-R3</t>
  </si>
  <si>
    <t>T73-AU-R4</t>
  </si>
  <si>
    <t>T73-AU-R5</t>
  </si>
  <si>
    <t>T73-AU-V3</t>
  </si>
  <si>
    <t>T73-AU-R6</t>
  </si>
  <si>
    <t>T73-AU-R7</t>
  </si>
  <si>
    <t>T73-AU-R8</t>
  </si>
  <si>
    <t>T73-AU-R9</t>
  </si>
  <si>
    <t>T73-AU-V4</t>
  </si>
  <si>
    <t>T73-AU-R10</t>
  </si>
  <si>
    <t>T73-AU-R11</t>
  </si>
  <si>
    <t>Taxi : bureau - centre ville (prospection à Brazzaville)</t>
  </si>
  <si>
    <t>Taxi : centre ville - moungali (prospection à Brazzaville)</t>
  </si>
  <si>
    <t>Taxi : bureau - zone campus (prospection à Brazzaville)</t>
  </si>
  <si>
    <t>Taxi : zone campus - quartier Mfoa (prospection à Brazzaville)</t>
  </si>
  <si>
    <t>Taxi : quartier Mfoa - poto poto (prospection à Brazzaville)</t>
  </si>
  <si>
    <t>Taxi : poto poto - domicile (prospection à Brazzaville)</t>
  </si>
  <si>
    <t>Taxi : domicile - texaco ( prospection à brazzaville)</t>
  </si>
  <si>
    <t>Taxi : texaco - zone de la frontière ( prospection à brazzaville)</t>
  </si>
  <si>
    <t>Credit telephonique MTN PALF/du 07au 10 Aout 2025/IT87</t>
  </si>
  <si>
    <t>Taxi : Bureau - Diata/ Prospection</t>
  </si>
  <si>
    <t>Taxi : Diata - Bifouiti/ Rencontre avec la cible</t>
  </si>
  <si>
    <t>Taxi : Bifouiti - Domicile/ Retour de prospection</t>
  </si>
  <si>
    <t>Reçu de Caisse/ IT87</t>
  </si>
  <si>
    <t>Taxi : Bureau - Marché Diata/ Prospection</t>
  </si>
  <si>
    <t>Taxi : Marché Diata - Av de la paix/ prospection</t>
  </si>
  <si>
    <t>Taxi : Av de la paix - Domicile/ Retour de prospection</t>
  </si>
  <si>
    <t>Taxi : Domicile - Mfilou/ Prospection</t>
  </si>
  <si>
    <t>Taxi : Gotié - Mairie/ Prospection</t>
  </si>
  <si>
    <t>Taxi : Mairie - Frontière/ Prospection</t>
  </si>
  <si>
    <t>Taxi : Frontière - Domicile/ Retour de prospection</t>
  </si>
  <si>
    <t>Reçu de caisse/ IT87</t>
  </si>
  <si>
    <t>Credit telephonique MTN PALF/du 18au 31 Aout 2025/IT87</t>
  </si>
  <si>
    <t>Taxi moto : Hôtel - Marché/ Prospection</t>
  </si>
  <si>
    <t>Achat boissons avec une cible</t>
  </si>
  <si>
    <t>Taxi moto : Centre ville - Charden Farel/ Retrait budget</t>
  </si>
  <si>
    <t>Achat snacks avec la cible</t>
  </si>
  <si>
    <t>IT87-AU-R1</t>
  </si>
  <si>
    <t>IT87-AU-D1</t>
  </si>
  <si>
    <t>IT87-AU-V1</t>
  </si>
  <si>
    <t>IT87-AU-V2</t>
  </si>
  <si>
    <t>IT87-AU-R2</t>
  </si>
  <si>
    <t>IT87-AU-R3</t>
  </si>
  <si>
    <t>IT87-AU-D2</t>
  </si>
  <si>
    <t>IT87-AU-R4</t>
  </si>
  <si>
    <t>IT87-AU-D3</t>
  </si>
  <si>
    <t>IT87-AU-V3</t>
  </si>
  <si>
    <t>IT87-AU-R5</t>
  </si>
  <si>
    <t>IT87-AU-R6</t>
  </si>
  <si>
    <t>IT87-AU-R7</t>
  </si>
  <si>
    <t>IT87-AU-R8</t>
  </si>
  <si>
    <t>IT87-AU-R9</t>
  </si>
  <si>
    <t>IT87-AU-R10</t>
  </si>
  <si>
    <t>IT87-AU-V4</t>
  </si>
  <si>
    <t>Credit telephonique MTN PALF/du 07au 10 Aout 2025/G12</t>
  </si>
  <si>
    <t>REçu de caisse/G12</t>
  </si>
  <si>
    <t>Taxi: Bureau- mikalou /prospection</t>
  </si>
  <si>
    <t>Taxi :Mikalou - domicile</t>
  </si>
  <si>
    <t>Taxi : Bureau - marché bifouiti , prospection</t>
  </si>
  <si>
    <t>Taxi: marché bifouiti- marché bouro /prospection</t>
  </si>
  <si>
    <t>Taxi: marché bouro - quartier comission /prospection</t>
  </si>
  <si>
    <t>Taxi: Quartier comission- domicile</t>
  </si>
  <si>
    <t>Taxi : Nganga lingolo- total / prospection</t>
  </si>
  <si>
    <t>Taxi: Total- domicile</t>
  </si>
  <si>
    <t>Reçu de caisse/G12</t>
  </si>
  <si>
    <t>Credit telephonique MTN PALF/du 18 au 31 Aout 2025/G12</t>
  </si>
  <si>
    <t>Credit telephonique Airtel PALF/du 18 au 31 Aout 2025/G12</t>
  </si>
  <si>
    <t>Taxi: Domicile- agence</t>
  </si>
  <si>
    <t>Taxi: Agence - hotel</t>
  </si>
  <si>
    <t>Taxi: Charden farell- marché oui</t>
  </si>
  <si>
    <t>Achat boisson 1 cible</t>
  </si>
  <si>
    <t>Taxi:Hotel - rafinerie</t>
  </si>
  <si>
    <t xml:space="preserve">Taxi: Marché - gare routière </t>
  </si>
  <si>
    <t xml:space="preserve">Taxi: Agence - domicile     </t>
  </si>
  <si>
    <t>Taxi: Matour: domicile</t>
  </si>
  <si>
    <t>G12-AU-R1</t>
  </si>
  <si>
    <t>G12-AU-V1</t>
  </si>
  <si>
    <t>G12-AU-D1</t>
  </si>
  <si>
    <t>G12-AU-V2</t>
  </si>
  <si>
    <t>G12-AU-R2</t>
  </si>
  <si>
    <t>G12-AU-R3</t>
  </si>
  <si>
    <t>G12-AU-R4</t>
  </si>
  <si>
    <t>G12-AU-D2</t>
  </si>
  <si>
    <t>G12-AU-V3</t>
  </si>
  <si>
    <t>G12-AU-D3</t>
  </si>
  <si>
    <t>G12-AU-R5</t>
  </si>
  <si>
    <t>G12-AU-R6</t>
  </si>
  <si>
    <t>G12-AU-R7</t>
  </si>
  <si>
    <t>G12-AU-R8</t>
  </si>
  <si>
    <t>G12-AU-R9</t>
  </si>
  <si>
    <t>G12-AU-R10</t>
  </si>
  <si>
    <t>Taxi: Bureau- Agence Charden Farell/ Transfert d'argent</t>
  </si>
  <si>
    <t>Taxi: Agence Charden Farell-Bureau/Transfert d'argent</t>
  </si>
  <si>
    <t>Credit telephonique MTN PALF/ du 18 au 31 Août 2025/Abraham</t>
  </si>
  <si>
    <t>Credit telephonique Airtel PALF/ du 18 au 31 Août 2025/Abraham</t>
  </si>
  <si>
    <t>Reçu caisse/Abraham</t>
  </si>
  <si>
    <t>Achat billet Brazzaville-Dolisie (Au nom de LOUNDOU Jean Romain)</t>
  </si>
  <si>
    <t>ABRAHAM - CONGO Ration du 20 au 22/08/2025 à Dolisie (02 Nuitées)</t>
  </si>
  <si>
    <t>Taxi:Domicile-Agence Tranbony de La frontière/ Prendre le depart pour Dolisie</t>
  </si>
  <si>
    <t>Taxi:Agence Transbony de Dolisie-Auberge Moukondo</t>
  </si>
  <si>
    <t>Taxi:Auberge Moukondo-Maison d'arrêt de Dolisie</t>
  </si>
  <si>
    <t>Ration/ Soir 5 détenus à la maison d'arrêt de Dolisie/ détenus visités: MBOUNGOU Dropsy, KISSAMBOU Yvon, PAMBOU Alain, BALENDA Jean Jacques, IVOUVOU</t>
  </si>
  <si>
    <t>Jail visits</t>
  </si>
  <si>
    <t>Taxi:Maison d'arrêt de Dolisie-Auberge Moukondo</t>
  </si>
  <si>
    <t>Taxi: Auberge Moukondo-Maison d'arrêt de Dolisie</t>
  </si>
  <si>
    <t>Ration/matin 5 détenus à la maison d'arrêt de Dolisie/ détenus visités: MBOUNGOU Dropsy, KISSAMBOU Yvon, PAMBOU Alain, BALENDA Jean Jacques, IVOUVOU</t>
  </si>
  <si>
    <t>Ration/soir 5 détenus à la maison d'arrêt de Dolisie/ détenus visités: MBOUNGOU Dropsy, KISSAMBOU Yvon, PAMBOU Alain, BALENDA Jean Jacques, IVOUVOU</t>
  </si>
  <si>
    <t>Taxi:Maison d'arrêt de Dolisie-Agence Transbony de Dolisie/Achat billet Dolisie-Brazzaville</t>
  </si>
  <si>
    <t>ABRAHAM - CONGO frais d'Hôtel du 20 au 22/08/2025 à Dolisie (02 Nuitées)</t>
  </si>
  <si>
    <t>Taxi:Auberge Moukondo-Agence Transbony Dolisie</t>
  </si>
  <si>
    <t>Taxi:Agence Transbony Moungali-Domicile</t>
  </si>
  <si>
    <t>Taxi: Bureau-Charden Farel/Transfert des fonds</t>
  </si>
  <si>
    <t>Taxi: Charden-Farel Bureau</t>
  </si>
  <si>
    <t>AB-AU-D1</t>
  </si>
  <si>
    <t>AB-AU-R1</t>
  </si>
  <si>
    <t>AB-AU-R2</t>
  </si>
  <si>
    <t>AB-AU-V1</t>
  </si>
  <si>
    <t>AB-AU-R3</t>
  </si>
  <si>
    <t>AB-AU-D2</t>
  </si>
  <si>
    <t>AB-AU-D3</t>
  </si>
  <si>
    <t>AB-AU-R4</t>
  </si>
  <si>
    <t>AB-AU-R5</t>
  </si>
  <si>
    <t>AB-AU-V2</t>
  </si>
  <si>
    <t>Taxi:Bureau-Agence Trans bony de la frontiere pour la réservation du billet</t>
  </si>
  <si>
    <t xml:space="preserve"> Achat billet Brazzaville-Loudima/ Roderlin</t>
  </si>
  <si>
    <t>Taxi:Agence trans bony de la frontiere-Bureau</t>
  </si>
  <si>
    <t>Credit telephonique MTN PALF/du 18 au 31 Août 2025/Roderlin</t>
  </si>
  <si>
    <t>Taxi:Domicile-Agence Trans bony de kintélé</t>
  </si>
  <si>
    <t xml:space="preserve"> Achat billet Loudima-Sibiti/ Roderlin</t>
  </si>
  <si>
    <t xml:space="preserve">Taxi-moto: La gare routiere de Sibiti-Hôtel le papyrus </t>
  </si>
  <si>
    <t>Taxi-moto:Hôtel le papyrus-Marché pour l'achat de la ration du  prevenu</t>
  </si>
  <si>
    <t>Ration  du prevenu MANKOUSSOU Auzere à la maison d'arrêt de Sibiti/soir</t>
  </si>
  <si>
    <t>Taxi-moto:Marché-Maison d'arrêt de Sibiti</t>
  </si>
  <si>
    <t>Taxi-moto:Maison d'arrêt de Sibiti-Hôtel le papyrus</t>
  </si>
  <si>
    <t>RODERLIN-CONGO Ration du 19 au 21/08/2025 à Sibiti (02 nuitées)</t>
  </si>
  <si>
    <t>Tation du prevenu MANKOUSSOU Auzere à la maison d'arrêt de Sibiti/matin</t>
  </si>
  <si>
    <t xml:space="preserve">Taxi-moto:Maison d'arrêt de Sibiti-tGI pour la vérification des des expéditions </t>
  </si>
  <si>
    <t xml:space="preserve">Taxi-moto:TGI-Hotel le papyrus </t>
  </si>
  <si>
    <t>Ration du prevenu MANKOUSSOU Auzere à la maison d'arrêt de Sibiti/soir</t>
  </si>
  <si>
    <t>RODERLIN-CONGO Frais d'hôtel du 19 au 21/08/2025 à Sibiti (02 nuitées)</t>
  </si>
  <si>
    <t>Taxi-moto:Hôtel le papyrus-La garre de Sibiti</t>
  </si>
  <si>
    <t xml:space="preserve"> Achat billet Sibiti-Nkayi/ Roderlin</t>
  </si>
  <si>
    <t xml:space="preserve"> Achat billet Nkayi-Brazzaville/ Roderlin </t>
  </si>
  <si>
    <t xml:space="preserve">Taxi:Agence trans bony de Kintélé-Domicile </t>
  </si>
  <si>
    <t xml:space="preserve">Taxi:Bureau-Agence océan du nord de la liberté pour la reservation des billets </t>
  </si>
  <si>
    <t xml:space="preserve"> Achat billet Brazzaville-Impfondo / Roderlin</t>
  </si>
  <si>
    <t>Taxi:Agence Océan du nord de la liberté-Bureau</t>
  </si>
  <si>
    <t>Taxi:Bureau-Cabinet BANZOUZI pour la rémise du budget</t>
  </si>
  <si>
    <t>Taxi:Cabinet BANZOUZI-Bureau</t>
  </si>
  <si>
    <t xml:space="preserve">Taxi:Domicile-Agence Océan du nord de Talangaî </t>
  </si>
  <si>
    <t xml:space="preserve">Taxi:Agence Océan du nord de Ouesso-Hôtel Divine </t>
  </si>
  <si>
    <t>RODERLIN-CONGO Ration du 28/08/ au 01/09/2025 à Ouesso/Enyele/ Impfondo (04 nuitées)</t>
  </si>
  <si>
    <t>RODERLIN-CONGO Frais d'hôtel du 28 au 29/08/2025 à Ouesso (01 nuitée)</t>
  </si>
  <si>
    <t>Taxi:Hôtel Divine-Agence Océan du nord de Ouesso</t>
  </si>
  <si>
    <t xml:space="preserve">Taxi-moto:Agence Océan du nord de Enyele-Hôtel Paulina </t>
  </si>
  <si>
    <t>RODERLIN-CONGO Frais d'hôtel du 29 au 30/08/2025 à Enyele (01 nuitée)</t>
  </si>
  <si>
    <t xml:space="preserve">Taxi:Hôtel Paulina-Agence Océan du nord de Enyele </t>
  </si>
  <si>
    <t>Taxi-moto:Agence Océan du nord d'Impfondo-Hôtel Mithe</t>
  </si>
  <si>
    <t>RO-AU-V1</t>
  </si>
  <si>
    <t>RO-AU-D1</t>
  </si>
  <si>
    <t>RO-AU-R1</t>
  </si>
  <si>
    <t>RO-AU-R2</t>
  </si>
  <si>
    <t>RO-AU-R3</t>
  </si>
  <si>
    <t>RO-AU-D3</t>
  </si>
  <si>
    <t>RO-AU-D2</t>
  </si>
  <si>
    <t>RO-AU-R4</t>
  </si>
  <si>
    <t>RO-AU-R5</t>
  </si>
  <si>
    <t>RO-AU-R6</t>
  </si>
  <si>
    <t>RO-AU-V2</t>
  </si>
  <si>
    <t>RO-AU-V3</t>
  </si>
  <si>
    <t>RO-AU-R7</t>
  </si>
  <si>
    <t>RO-AU-D4</t>
  </si>
  <si>
    <t>RO-AU-R8</t>
  </si>
  <si>
    <t>RO-AU-R9</t>
  </si>
  <si>
    <t>Reçu caisse/Donald-Romeo</t>
  </si>
  <si>
    <t>Achat billet Brazzaville-Imfondo/ Donald-Roméo</t>
  </si>
  <si>
    <t>Taxi Domicile-Agence Océan du Nord de Talangaï</t>
  </si>
  <si>
    <t>Taxi agence Océan du Nord d'Oyo-Hôtel Saint Benoit</t>
  </si>
  <si>
    <t>Ration  du  14/08 au 02/09/2025 à Oyo, Impfondo et  Enyellé/ Donald-Roméo</t>
  </si>
  <si>
    <t>Donald Roméo- CONGO Frais d'hôtel du 14 au 15/08/2025 à Oyo (01 Nuitée)</t>
  </si>
  <si>
    <t>Taxi Hôtel Saint Benoit-agence Océan du Nord d'Oyo</t>
  </si>
  <si>
    <t>Taxi Hôtel agence Océan du Nord d'Enyelé-Hôtel Paulina</t>
  </si>
  <si>
    <t>Donald Roméo -CONGO Frais d'hôtel/ du 15 au 16/08/2025 à Enyelé (01 Nuitée)</t>
  </si>
  <si>
    <t>Taxi Hôtel Paulina-agence Océan du Nord d'Enylé</t>
  </si>
  <si>
    <t>Taxi agence Océan du Nord d'Impfondo-Hôtel Mithé</t>
  </si>
  <si>
    <t>Reçu caisse/Donald-Roméo</t>
  </si>
  <si>
    <t>Taxi Hôtel Mithé-Charden farell/ Retrait des fonds</t>
  </si>
  <si>
    <t>Taxi Charden farell-Hôtel Mithé</t>
  </si>
  <si>
    <t>Credit telephonique MTN PALF/du 18 au 31 Août 2025</t>
  </si>
  <si>
    <t>Taxi moto Hôtel-DDEF/ Rencontrer le DD</t>
  </si>
  <si>
    <t xml:space="preserve">Taxi moto DDEF-TGI/ Rencontrer le Procureur </t>
  </si>
  <si>
    <t>Taxi moto Région de gendarmerie-Hôtel Mithé</t>
  </si>
  <si>
    <t>Taxi moto Hôtel Mithé- Hôtel Tropicana/ Reperage</t>
  </si>
  <si>
    <t>Taxi moto Hôtel Tropicana- Aeroport d'Impfondo</t>
  </si>
  <si>
    <t>Taxi moto Aeroport d'Impfondo-Charden farell/ Retrait des fonds</t>
  </si>
  <si>
    <t>Taxi moto Hôtel Mithé- Cyber / Faire imprimer la photo et le mandat</t>
  </si>
  <si>
    <t>Taxi moto Cyber-Hôtel Mithé</t>
  </si>
  <si>
    <t>Taxi moto Hôtel Mithé- Gendarmerie/ Opération</t>
  </si>
  <si>
    <t>Taxi moto Region de Gendarmerie- Hôtel Mithé</t>
  </si>
  <si>
    <t>Taxi moto Hôtel Mithé-La Brigade de Recherche/ Pour la visite geôle du 25/08/2025 à 20h</t>
  </si>
  <si>
    <t>Ration d'une prevenue/ MOUKAHOU Clarisse/ A la gandarmerie d'Impfondo/Soir</t>
  </si>
  <si>
    <t>Taxi moto La Brigade de Recherche- Hôtel Mithé</t>
  </si>
  <si>
    <t>Taxi moto Hôtel Mithé-La Brigade de Recherche/ Pour la visite geôle du 26/08/2025 à 07h</t>
  </si>
  <si>
    <t>Ration d'une prevenue/ MOUKAHOU Clarisse/ A la gandarmerie d'Impfondo/Matin</t>
  </si>
  <si>
    <t>Taxi moto Hôtel Mithé-La gendarmerie/ Auditions</t>
  </si>
  <si>
    <t>Taxi moto La gendarmerie- Hôtel Mithé</t>
  </si>
  <si>
    <t>Taxi moto Hôtel Mithé-La Brigade de Recherche/ Pour la visite geôle du 26/08/2025 à 20h</t>
  </si>
  <si>
    <t>Taxi moto Hôtel Mithé-La Brigade de Recherche/ Pour la visite geôle du 27/08/2025 à 07h</t>
  </si>
  <si>
    <t>Taxi moto Hôtel Mithé-La gendarmerie/ Comptages des écailles</t>
  </si>
  <si>
    <t>Taxi moto La gendarmerie- DDEF/ Saisie de la procédure</t>
  </si>
  <si>
    <t>Taxi moto DDEF-Charden farell/ Retrait de fonds</t>
  </si>
  <si>
    <t>Taxi moto Charden farell-Hôtel Mithé</t>
  </si>
  <si>
    <t>Taxi moto Hôtel Mithé-La Brigade de Recherche/ Pour la visite geôle du 27/08/2025 à 20h</t>
  </si>
  <si>
    <t>Taxi moto Hôtel Mithé-La Brigade de Recherche/ Pour la visite geôle du 28/08/2025 à 07h</t>
  </si>
  <si>
    <t>Taxi moto DDEF-Hôtel Mithé</t>
  </si>
  <si>
    <t>Taxi moto Hôtel Mithé-La Brigade de Recherche/ Pour la visite geôle du 28/08/2025 à 20h</t>
  </si>
  <si>
    <t>Taxi moto Hôtel Mithé-La Brigade de Recherche/ Pour la visite geôle du 29/08/2025 à 07h</t>
  </si>
  <si>
    <t>Taxi moto Hôtel Mithé-Cyber café/ Faire imprimer la procédure de la Gendarmerie</t>
  </si>
  <si>
    <t>Office materials</t>
  </si>
  <si>
    <t>Taxi moto Cyber café-Region de gendarmerie/ Faire signer les PV aux prévenus</t>
  </si>
  <si>
    <t>Taxi moto TGI- Hôtel Mithé</t>
  </si>
  <si>
    <t>DR-AU-V1</t>
  </si>
  <si>
    <t>DR-AU-R1</t>
  </si>
  <si>
    <t>DR-AU-D1</t>
  </si>
  <si>
    <t>DR-AU-D2</t>
  </si>
  <si>
    <t>DR-AU-R2</t>
  </si>
  <si>
    <t>DR-AU-R3</t>
  </si>
  <si>
    <t>DR-AU-R4</t>
  </si>
  <si>
    <t>DR-AU-V2</t>
  </si>
  <si>
    <t>DR-AU-R5</t>
  </si>
  <si>
    <t>DR-AU-V3</t>
  </si>
  <si>
    <t>DR-AU-R6</t>
  </si>
  <si>
    <t>DR-AU-R7</t>
  </si>
  <si>
    <t>DR-AU-R8</t>
  </si>
  <si>
    <t>DR-AU-D3</t>
  </si>
  <si>
    <t>DR-AU-V4</t>
  </si>
  <si>
    <t>DR-AU-R9</t>
  </si>
  <si>
    <t>Taxi, Domicile-Bureau PALF</t>
  </si>
  <si>
    <t>Reçu  caisse/ Evariste</t>
  </si>
  <si>
    <t>Achat Billet Brazzaville-Impfondo/Evariste</t>
  </si>
  <si>
    <t>Taxi, Bureau PALF-Domicile</t>
  </si>
  <si>
    <t>Taxi, Domicile-Agence Océan du Nord de Talangai</t>
  </si>
  <si>
    <t>Taxi moto, Agence Océan du Nord d'Oyo-Hôtel Saint Benoit</t>
  </si>
  <si>
    <t>Evariste-CONGO Ration du 14 août au 03 septembre 2025 à Impfondo ( 20 nuitées )</t>
  </si>
  <si>
    <t>Taxi moto, Hôtel Saint Benoit-Agence Océan du Nord d'Oyo</t>
  </si>
  <si>
    <t xml:space="preserve">Evariste-CONGO Frais de l'hôtel du 15 au 16/08/2025 à Enyelé ( 01 nuitée) </t>
  </si>
  <si>
    <t>Taxi moto, Agence Océan du Nord d'Impfondo-Hôtel Mité 2</t>
  </si>
  <si>
    <t>Taxi moto, Hôtel Mithé2-les environs de l'hôtel Tropicana</t>
  </si>
  <si>
    <t>Taxi moto, Hôtel Tropicana-Hôtel Mithé2</t>
  </si>
  <si>
    <t>Taxi moto, Hôtel Mithé2-Région de Gendarmerie</t>
  </si>
  <si>
    <t>Taxi moto, Région de Gendarmerie-Le Bar en face de l'hôtel Tropicana</t>
  </si>
  <si>
    <t>Rafraichissement de mon équipe lors de l'opération/ Evariste</t>
  </si>
  <si>
    <t>Taxi moto, Région de Gendarmerie-Hôtel Mithé2</t>
  </si>
  <si>
    <t>Taxi moto, Hôtel Mithé2-Region de gendarmerie</t>
  </si>
  <si>
    <t>Taxi moto, Région de gendarmerie-Charden Farell</t>
  </si>
  <si>
    <t>Taxi moto, Charden Farell-Region de gendarmerie</t>
  </si>
  <si>
    <t>Taxi moto, Hôtel Mithé2-Agence Océan du Nord d'Impfondo</t>
  </si>
  <si>
    <t>Taxi moto, Hôtel Mithé2-Charden Farell</t>
  </si>
  <si>
    <t>Taxi moto, Charden Farell-Hôtel Mithé2</t>
  </si>
  <si>
    <t>EV-AU-D1</t>
  </si>
  <si>
    <t>EV-AU-V1</t>
  </si>
  <si>
    <t>EV-AU-R1</t>
  </si>
  <si>
    <t>EV-AU-D2</t>
  </si>
  <si>
    <t>EV-AU-R2</t>
  </si>
  <si>
    <t>EV-AU-R3</t>
  </si>
  <si>
    <t>EV-AU-R4</t>
  </si>
  <si>
    <t>EV-AU-V2</t>
  </si>
  <si>
    <t>EV-AU-R5</t>
  </si>
  <si>
    <t>EV-AU-V3</t>
  </si>
  <si>
    <t>EV-AU-R6</t>
  </si>
  <si>
    <t>EV-AU-V4</t>
  </si>
  <si>
    <t>EV-AU-V5</t>
  </si>
  <si>
    <t>Reçu Caisse /Jean Romain</t>
  </si>
  <si>
    <t>Taxi: Bureau-Imprimérie DL/ pour retirer les cartes de visite du Coordo</t>
  </si>
  <si>
    <t>Taxi: Imprimérie DL -Bureau</t>
  </si>
  <si>
    <t>Credit telephonique MTN PALF/du 18 au 31 Août2025/Romain</t>
  </si>
  <si>
    <t>Taxi: Bureau Agence Trans Bony de la Frontière</t>
  </si>
  <si>
    <t>Taxi: Agence Trans Bony de la Frontière-Agence Trans Bony de Diata</t>
  </si>
  <si>
    <t>Taxi: Agence Trans Bony de Diata-Bureau</t>
  </si>
  <si>
    <t>Taxi: Domicile-Agence Trans Bony de Diata</t>
  </si>
  <si>
    <t>Taxi: Bureau-Agence Océan du Nord de Talangai</t>
  </si>
  <si>
    <t>Taxi: Agence Océan du Nord de Talangai-Bureau</t>
  </si>
  <si>
    <t>Taxi: Bureau-Charden Farell(Pour le transfert d'argent)</t>
  </si>
  <si>
    <t>Taxi: Charden Farell-Bureau</t>
  </si>
  <si>
    <t>Taxi: Bureau-Charden Farell/Pour le transfert d'argent</t>
  </si>
  <si>
    <t>RM-AU-V1</t>
  </si>
  <si>
    <t>RM-AU-D1</t>
  </si>
  <si>
    <t>RM-AU-R1</t>
  </si>
  <si>
    <t>Solde au 01/08/2025</t>
  </si>
  <si>
    <t>Solde au 1/08/2025</t>
  </si>
  <si>
    <t>Solde  au 01/08/2025</t>
  </si>
  <si>
    <t>Evariste-CONGO Frais de l'hôtel du 14 au 15/08/2025 à Oyo ( 01 nuitée)</t>
  </si>
  <si>
    <t>Reglement honoraire du mois de Juillet 2025/IT87/3654411</t>
  </si>
  <si>
    <t>Reglement Facture Gardiennage Mois Juillet 2025/3654414</t>
  </si>
  <si>
    <t>Retrait espèces/3654415</t>
  </si>
  <si>
    <t>RAPATRIEME01100 RAO00010886/Fondation de la Famille Dahan(DFF)</t>
  </si>
  <si>
    <t>RAPATRIEME01100 RAO00010886/Fondation Wildcat</t>
  </si>
  <si>
    <t>Retrait espèces/3654412</t>
  </si>
  <si>
    <t>Paiement salaire du mois de Juillet 2025/Homéfa DOVI/3654413</t>
  </si>
  <si>
    <t>Solde honoraire contrat N°63_Brazzaville cas IBAMBOU ATEMBO Delmand Ferréol/Maitre Marie Hélène NANITELAMIO MALONGA/ 3654416</t>
  </si>
  <si>
    <t>Retrait espèces/3654417</t>
  </si>
  <si>
    <t>Paiement Honoraire Me LOCKO/Mois de Juillet  2025/3654418</t>
  </si>
  <si>
    <t>Paiement Honoraire Me LOCKO/Mois de Juin 2025/36544889</t>
  </si>
  <si>
    <t>Paiement salaire du mois d'Août 2025/BAVOUMINA NZOUSSI Dina Parfaite/3654421</t>
  </si>
  <si>
    <t>Paiement salaire du mois d'Août 2025/FOUMBA Roderlin/3654424</t>
  </si>
  <si>
    <t>Paiement salaire du mois d'Août 2025/BOUNGOU MAKOSSO Abraham/3654423</t>
  </si>
  <si>
    <t>Paiement salaire du mois d'Août 2025/Crepin IBOUILI-IBOUILI</t>
  </si>
  <si>
    <t>Paiement salaire du mois d'Août 2025/PINDI BINGA Donald- Roméo</t>
  </si>
  <si>
    <t>Paiement salaire du mois d'Août 2025/Evariste LELOUSSI</t>
  </si>
  <si>
    <t>Paiement salaire du mois d'Août 2025/LOUNDOU JeanRomain/3654422</t>
  </si>
  <si>
    <t>Paiement salaire du mois d'Août 2025/Homéfa DOVI/3654425</t>
  </si>
  <si>
    <t>Reglement loyer du mois d'Août 2025/3654420</t>
  </si>
  <si>
    <t>Frais de virement salaire du mois d'Août 2025</t>
  </si>
  <si>
    <t>Reglement honoraire du mois d'Août 2025/G12/3654427</t>
  </si>
  <si>
    <t>Reglement honoraire du mois d'Août 2025/IT87/3654426</t>
  </si>
  <si>
    <t>BQ-AU-R2</t>
  </si>
  <si>
    <t>BQ-AU-R3</t>
  </si>
  <si>
    <t>BQ-AU-R4</t>
  </si>
  <si>
    <t>BQ-AU-V1</t>
  </si>
  <si>
    <t>BQ-AU-V2</t>
  </si>
  <si>
    <t>BQ-AU-R5</t>
  </si>
  <si>
    <t>BQ-AU-R6</t>
  </si>
  <si>
    <t>BQ-AU-V3</t>
  </si>
  <si>
    <t>BQ-AU-V4</t>
  </si>
  <si>
    <t>BQ-AU-R7</t>
  </si>
  <si>
    <t>BQ-AU-R8</t>
  </si>
  <si>
    <t>BQ-AU-R9</t>
  </si>
  <si>
    <t>BQ-AU-R10</t>
  </si>
  <si>
    <t>BQ-AU-R11</t>
  </si>
  <si>
    <t>BQ-AU-R12</t>
  </si>
  <si>
    <t>BQ-AU-R13</t>
  </si>
  <si>
    <t>BQ-AU-R14</t>
  </si>
  <si>
    <t>BQ-AU-R15</t>
  </si>
  <si>
    <t>BQ-AU-R16</t>
  </si>
  <si>
    <t>BQ-AU-R17</t>
  </si>
  <si>
    <t>BQ-AU-R18</t>
  </si>
  <si>
    <t>Report de solde du 01/08/2025</t>
  </si>
  <si>
    <t>Retrait espèces/3654419</t>
  </si>
  <si>
    <t>Reglement loyer du mois de Juillet 2025/3654407+C31C21CC3:C27</t>
  </si>
  <si>
    <t>01/08/2025 of the month Balance and advance</t>
  </si>
  <si>
    <t>FINANCIAL POSITION AT 31/08/2025</t>
  </si>
  <si>
    <t>31/08/2025 of the month  Balance and advance</t>
  </si>
  <si>
    <t>BQ-AU-G1</t>
  </si>
  <si>
    <t>BQ-AU-G2</t>
  </si>
  <si>
    <t>août</t>
  </si>
  <si>
    <t>FINANCIAL POSITION AT 01/08/2025</t>
  </si>
  <si>
    <t>RODERLIN-CONGO Frais d'hôtel du 29 au 30/08/2025 à Enyelle (01 nuitée)</t>
  </si>
  <si>
    <t>Rafraichissement OP  à Impfondo/10  gendarmes et moi</t>
  </si>
  <si>
    <t>Reglement loyer du mois de Juillet 2025/3654407</t>
  </si>
  <si>
    <t>Bonus media portant sur le bilan des activités PALF de Janvier à Juillet pièces Radio, Radio Citoyenne des Jeunes</t>
  </si>
  <si>
    <t>Achat produit d'entretien laits /Bureau PALF</t>
  </si>
  <si>
    <t>Achat produit d'entretien javel /Bureau PALF</t>
  </si>
  <si>
    <t>Achat produit d'entretien Nettoyant menage /Bureau PALF</t>
  </si>
  <si>
    <t>Achat produit d'entretien bloc WC /Bureau PALF</t>
  </si>
  <si>
    <t>Achat produit d'entretienBoite Matinal /Bureau PALF</t>
  </si>
  <si>
    <t>Achat produit d'entretien paquet Lipton/Bureau PALF</t>
  </si>
  <si>
    <t>Achat produit d'entretien Liquide vaiselle /Bureau PALF</t>
  </si>
  <si>
    <t>Achat produit d'entretien Savon/Bureau PALF</t>
  </si>
  <si>
    <t>Achat produit d'entretien proclin detergent/Bureau PALF</t>
  </si>
  <si>
    <t>Achat produit d'entretien Sucre /Bureau PALF</t>
  </si>
  <si>
    <t>Achat produit d'entretienPapier toilette/Bureau PALF</t>
  </si>
  <si>
    <t>Achat produit d'entretien Sac poubelle /Bureau PALF</t>
  </si>
  <si>
    <t>Bonus media portant sur le bilan des activités PALF de Janvier à Juillet pièces presse Internet (https://www.panoramik-actu.com)</t>
  </si>
  <si>
    <t>Bonus media portant sur le bilan des activités PALF de Janvier à Juillet pièces presse Internet (https://www.tribune-eco.cg)</t>
  </si>
  <si>
    <t>Bonus media portant sur le bilan des activités PALF de Janvier à Juillet pièces presse Internet (https://www.groupecongomedias.com)</t>
  </si>
  <si>
    <t>Bonus media portant sur le bilan des activités PALF de Janvier à Juillet pièces presse Internet (https://www.labreveonline.com)</t>
  </si>
  <si>
    <t>Bonus media portant sur le bilan des activités PALF de Janvier à Juillet pièces presse Internet (https://www.adiac-congo.com)</t>
  </si>
  <si>
    <t>Bonus media portant sur le bilan des activités PALF de Janvier à Juillet pièces presse Internet (https://www.lasemaineafricaine.info)</t>
  </si>
  <si>
    <t>Bonus media portant sur le bilan des activités PALF de Janvier à Juillet pièces presse Internet (https://www.matinlibre.cg)</t>
  </si>
  <si>
    <t>Bonus media portant sur le bilan des activités PALF de Janvier à Juillet pièces presse Internet (https://www.firstmediac.com)</t>
  </si>
  <si>
    <t>Bonus media portant sur le bilan des activités PALF de Janvier à Juillet pièces presse Internet (https://www.journaldebrazza.com)</t>
  </si>
  <si>
    <t>Bonus media portant sur le bilan des activités PALF de Janvier à Juillet pièces presse Internet (https://vmmedias.info)</t>
  </si>
  <si>
    <t>Bonus media portant sur le bilan des activités PALF de Janvier à Juillet pièces presse Internet (https://aci.cg)</t>
  </si>
  <si>
    <t>Bonus media portant sur le bilan des activités PALF de Janvier à Juillet pièces presse Internet (https://lesechos-congobrazza.com/)</t>
  </si>
  <si>
    <t>Bonus media portant sur le bilan des activités PALF de Janvier à Juillet pièces presse Internet (https://opinionpublique.cg)</t>
  </si>
  <si>
    <t>Bonus media portant sur le bilan des activités PALF de Janvier à Juillet pièces presse Internet (https://www.lhorizonafricain.com)</t>
  </si>
  <si>
    <t>Bonus media portant sur le bilan des activités PALF de Janvier à Juillet pièces presse Papier (Dépêches de Brazzaville)</t>
  </si>
  <si>
    <t>Bonus media portant sur le bilan des activités PALF de Janvier à Juillet pièces presse Papier (la semaine Africaine)</t>
  </si>
  <si>
    <t>Bonus media portant sur le bilan des activités PALF de Janvier à Juillet pièces presse Papier( l'horizon Africain)</t>
  </si>
  <si>
    <t>Bonus media portant sur le bilan des activités PALF de Janvier à Juillet pièces presse Papier (l'Agence congolaise de l'information)</t>
  </si>
  <si>
    <t>Bonus media portant sur le bilan des activités PALF de Janvier à Juillet pièces Radio, (Radio Citoyenne des Jeunes)</t>
  </si>
  <si>
    <t>Bonus medias(TV Congo) portant sur l'interpetation d'une trafiquante de produit de  faune le 25 Août Août 2025 à Impfondo pieces( télé Congo montages)</t>
  </si>
  <si>
    <t>Bonus medias(TV Congo) portant sur l'interpetation d'une trafiquante de produit de  faune le 25 Août Août 2025 à Impfondo pieces (télé Congo, lingala )</t>
  </si>
  <si>
    <t>Bonus medias(TV Congo) portant sur l'interpetation d'une trafiquante de produit de  faune le 25 Août Août 2025 à Impfondo pieces (télé Congo kituba)</t>
  </si>
  <si>
    <t>Bonus medias(TV Congo) portant sur l'interpetation d'une trafiquante de produit de  faune le 25 Août Août 2025 à Impfondo (pieces télé Congo français)</t>
  </si>
  <si>
    <t>CR-AU-R1-2</t>
  </si>
  <si>
    <t>CR-AU-R1-3</t>
  </si>
  <si>
    <t>CR-AU-R1-4</t>
  </si>
  <si>
    <t>CR-AU-R1-5</t>
  </si>
  <si>
    <t>CR-AU-R1-6</t>
  </si>
  <si>
    <t>CR-AU-R1-7</t>
  </si>
  <si>
    <t>CR-AU-R1-8</t>
  </si>
  <si>
    <t>CR-AU-R1-9</t>
  </si>
  <si>
    <t>CR-AU-R1-10</t>
  </si>
  <si>
    <t>CR-AU-R-4</t>
  </si>
  <si>
    <t>CR-AU-R5-5</t>
  </si>
  <si>
    <t>Achat billet /T73</t>
  </si>
  <si>
    <t xml:space="preserve">T73-CONGO Ration </t>
  </si>
  <si>
    <t xml:space="preserve">T73 - CONGO Frais d'hotel </t>
  </si>
  <si>
    <t>Achat billet  /T73</t>
  </si>
  <si>
    <t>Taxi : zone de la frontière - bureau</t>
  </si>
  <si>
    <t xml:space="preserve">Taxi : bureau - agence </t>
  </si>
  <si>
    <t>Taxi : agence</t>
  </si>
  <si>
    <t xml:space="preserve">Taxi : </t>
  </si>
  <si>
    <t>Taxi moto : -centre ville</t>
  </si>
  <si>
    <t xml:space="preserve">Taxi moto : centre ville - quartier </t>
  </si>
  <si>
    <t>Taxi moto : quartier - charden farell</t>
  </si>
  <si>
    <t xml:space="preserve">Taxi moto : charden farell - hotel </t>
  </si>
  <si>
    <t>Taxi moto : hotel - parking</t>
  </si>
  <si>
    <t xml:space="preserve">Taxi moto : parking - domicile </t>
  </si>
  <si>
    <t>Taxi moto : domicile</t>
  </si>
  <si>
    <t xml:space="preserve">Taxi moto : </t>
  </si>
  <si>
    <t>Taxi moto : parking - hotel</t>
  </si>
  <si>
    <t xml:space="preserve">Taxi moto : hotel  - hotel </t>
  </si>
  <si>
    <t xml:space="preserve">Taxi moto : hotel </t>
  </si>
  <si>
    <t>Taxi moto : hotel - hotel</t>
  </si>
  <si>
    <t>Taxi moto : hotel  - hotel</t>
  </si>
  <si>
    <t>Taxi moto : hotel  -</t>
  </si>
  <si>
    <t>Taxi moto : hotel</t>
  </si>
  <si>
    <t xml:space="preserve">Taxi moto : hotel - centre ville </t>
  </si>
  <si>
    <t>Taxi moto : centre ville</t>
  </si>
  <si>
    <t>Taxi moto : zone stade - zone</t>
  </si>
  <si>
    <t xml:space="preserve">Taxi moto : zone hopital - l'hotel </t>
  </si>
  <si>
    <t>Taxi moto : hotel tropicana - centre ville</t>
  </si>
  <si>
    <t xml:space="preserve">Taxi moto : centre ville - marché </t>
  </si>
  <si>
    <t xml:space="preserve">Taxi moto : marché - zone </t>
  </si>
  <si>
    <t xml:space="preserve">Taxi moto : zone stade - quartier </t>
  </si>
  <si>
    <t>Taxi moto : quartier - hotel</t>
  </si>
  <si>
    <t>Taxi moto : hotel  - hotel t</t>
  </si>
  <si>
    <t xml:space="preserve">Taxi moto : centre ville - hotel </t>
  </si>
  <si>
    <t>Achat billet / P29</t>
  </si>
  <si>
    <t xml:space="preserve">P29 - CONGO Ration </t>
  </si>
  <si>
    <t xml:space="preserve">P29 -CONGO Frais d'hotel </t>
  </si>
  <si>
    <t>P29 -CONGO Frais d'hotel</t>
  </si>
  <si>
    <t>Location véhicule /P29</t>
  </si>
  <si>
    <t>Achat billet /P29</t>
  </si>
  <si>
    <t>Taxi domicile-agence</t>
  </si>
  <si>
    <t>Taxi agence-hotel</t>
  </si>
  <si>
    <t>Taxi hotel-agence</t>
  </si>
  <si>
    <t>Taxi tricycle agence océan -</t>
  </si>
  <si>
    <t>Taxi tricycle hotel-agence</t>
  </si>
  <si>
    <t>Taxi tricycle agence</t>
  </si>
  <si>
    <t>Taxi moto hotel</t>
  </si>
  <si>
    <t>Taxi moto</t>
  </si>
  <si>
    <t>Taxi tricycle toligana-bakadi</t>
  </si>
  <si>
    <t>Taxi tricycle</t>
  </si>
  <si>
    <t>Taxi tricycle cf-angola</t>
  </si>
  <si>
    <t xml:space="preserve">Taxi tricycle </t>
  </si>
  <si>
    <t xml:space="preserve">Taxi moto </t>
  </si>
  <si>
    <t xml:space="preserve">Taxi tricycle hotel </t>
  </si>
  <si>
    <t>Taxi</t>
  </si>
  <si>
    <t xml:space="preserve">Taxi </t>
  </si>
  <si>
    <t xml:space="preserve">G12-CONGO Achat billet </t>
  </si>
  <si>
    <t xml:space="preserve">G12-CONGO Ration </t>
  </si>
  <si>
    <t xml:space="preserve">G12- CONGO Achat billet </t>
  </si>
  <si>
    <t xml:space="preserve">G12-CONGO frais d'hôtel </t>
  </si>
  <si>
    <t>Taxi : Domicile - nganga</t>
  </si>
  <si>
    <t xml:space="preserve">Taxi : Nganga lingolo- total </t>
  </si>
  <si>
    <t xml:space="preserve">Taxi: </t>
  </si>
  <si>
    <t>Taxi: Domicile</t>
  </si>
  <si>
    <t>Taxi: Agence</t>
  </si>
  <si>
    <t xml:space="preserve">Taxi: Hotel- quartier </t>
  </si>
  <si>
    <t>Taxi: marché</t>
  </si>
  <si>
    <t>Taxi :</t>
  </si>
  <si>
    <t xml:space="preserve">Taxi: Charden farell- marché </t>
  </si>
  <si>
    <t xml:space="preserve"> Taxi:Marché </t>
  </si>
  <si>
    <t>Taxi:</t>
  </si>
  <si>
    <t>Taxi: Hotel -</t>
  </si>
  <si>
    <t xml:space="preserve">Taxi :Hotel - </t>
  </si>
  <si>
    <t xml:space="preserve">Taxi: Domicile - marché  </t>
  </si>
  <si>
    <t>Achat billet/ IT87</t>
  </si>
  <si>
    <t>IT87-CONGO Ration</t>
  </si>
  <si>
    <t>Achat billet / IT87</t>
  </si>
  <si>
    <t xml:space="preserve">IT87-CONGO Frais d'hôtel </t>
  </si>
  <si>
    <t>IT87-CONGO Frais d'hôtel  d</t>
  </si>
  <si>
    <t xml:space="preserve">Taxi : Bureau - Agence Ocean </t>
  </si>
  <si>
    <t>Taxi : Agence Ocean du nord - Agence</t>
  </si>
  <si>
    <t>Taxi : Agence  - Domicile/</t>
  </si>
  <si>
    <t xml:space="preserve">Taxi : Domicile - Agence / </t>
  </si>
  <si>
    <t>Taxi : Agence</t>
  </si>
  <si>
    <t xml:space="preserve">P29 - CONGO Ration  </t>
  </si>
  <si>
    <t>Location véhicule/P29</t>
  </si>
  <si>
    <t>Achat billet/P29</t>
  </si>
  <si>
    <t>Taxi : bureau - centre ville</t>
  </si>
  <si>
    <t xml:space="preserve">Taxi : centre ville - moungali </t>
  </si>
  <si>
    <t>taxi :</t>
  </si>
  <si>
    <t xml:space="preserve">Taxi : domicille - agence </t>
  </si>
  <si>
    <t>Taxi moto : a</t>
  </si>
  <si>
    <t>T73 - CONGO Frais d'hotel</t>
  </si>
  <si>
    <t>Taxi moto :</t>
  </si>
  <si>
    <t>Taxi moto : c</t>
  </si>
  <si>
    <t>Taxi : Bureau - Agence Ocean du nord/</t>
  </si>
  <si>
    <t>Taxi : Agence Ocean du nord - Agence trans bony/</t>
  </si>
  <si>
    <t>Taxi : Agence trans bony - Domicile</t>
  </si>
  <si>
    <t xml:space="preserve">IT87-CONGO Ration </t>
  </si>
  <si>
    <t>Taxi : Domicile - Agence Trans bony/</t>
  </si>
  <si>
    <t>Taxi : Agence trans bony - Parking</t>
  </si>
  <si>
    <t>Taxi : Parking - Hôtel/</t>
  </si>
  <si>
    <t xml:space="preserve">Taxi moto : Hôtel - Marché/ </t>
  </si>
  <si>
    <t xml:space="preserve">Taxi moto : Marché - Centre ville/ </t>
  </si>
  <si>
    <t xml:space="preserve">Taxi moto : Charden Farel - Avenue </t>
  </si>
  <si>
    <t>Taxi moto : Avenue de l'entente - Hôtel/</t>
  </si>
  <si>
    <t xml:space="preserve">Taxi moto : Hôtel - Parking/ </t>
  </si>
  <si>
    <t>Taxi moto : Parking - Hôtel Arc en ciel/</t>
  </si>
  <si>
    <t xml:space="preserve">Taxi moto : Marché - Gare routière de </t>
  </si>
  <si>
    <t>Taxi moto : Gare routière de Mpouya  - Hôtel/</t>
  </si>
  <si>
    <t>Taxi moto : N2 - Marché/</t>
  </si>
  <si>
    <t>Taxi moto : Marché - Avenue Omiere/</t>
  </si>
  <si>
    <t>Taxi moto : Avenue</t>
  </si>
  <si>
    <t xml:space="preserve">Taxi moto : Ecole primaire  - Hôtel/ </t>
  </si>
  <si>
    <t>Taxi moto : Hôtel - Ecole</t>
  </si>
  <si>
    <t>Taxi moto : Ecole primaire  - Centre</t>
  </si>
  <si>
    <t xml:space="preserve">Taxi moto : Centre - Hôtel/ </t>
  </si>
  <si>
    <t xml:space="preserve">Taxi : TalangaÏ - Domicile/ </t>
  </si>
  <si>
    <t>Taxi : Bureau - Mitoko/</t>
  </si>
  <si>
    <t>Taxi : Mitoko - PK/</t>
  </si>
  <si>
    <t xml:space="preserve">Taxi : Domicile - nganga lingolo, </t>
  </si>
  <si>
    <t>G12-CONGO Achat billet</t>
  </si>
  <si>
    <t>Taxi: Hotel- quartier</t>
  </si>
  <si>
    <t xml:space="preserve"> Taxi:Marché - hotel</t>
  </si>
  <si>
    <t xml:space="preserve">G12- CONGO Achat </t>
  </si>
  <si>
    <t xml:space="preserve">Taxi : gare </t>
  </si>
  <si>
    <t xml:space="preserve">Taxi: gare </t>
  </si>
  <si>
    <t>Taxi:Zone  - marché</t>
  </si>
  <si>
    <t>Taxi: Gare r</t>
  </si>
  <si>
    <t>Taxi : Hotel- agence / achat</t>
  </si>
  <si>
    <t>Taxi:Macrché tagoma -</t>
  </si>
  <si>
    <t xml:space="preserve">Taxi:5 chemin - matour </t>
  </si>
  <si>
    <t xml:space="preserve">Taxi : bureau - centre ville </t>
  </si>
  <si>
    <t>taxi : moungali - domicile</t>
  </si>
  <si>
    <t xml:space="preserve">Taxi : Diata - Bifouiti/ </t>
  </si>
  <si>
    <t>Taxi: Bureau- mikalou /</t>
  </si>
  <si>
    <t>Taxi : bureau - zone campus</t>
  </si>
  <si>
    <t>Taxi : zone campus - quartier Mfoa</t>
  </si>
  <si>
    <t>Taxi : quartier Mfoa - poto poto</t>
  </si>
  <si>
    <t>Taxi : poto poto - domicile</t>
  </si>
  <si>
    <t>Taxi : Marché Diata - Av de la paix/</t>
  </si>
  <si>
    <t xml:space="preserve">Taxi : Av de la paix - Domicile/ </t>
  </si>
  <si>
    <t>Taxi: marché bifouiti- marché</t>
  </si>
  <si>
    <t>Taxi: marché bouro - quartier c</t>
  </si>
  <si>
    <t>Taxi: Quartie- domicile</t>
  </si>
  <si>
    <t>Taxi domicile-bouro</t>
  </si>
  <si>
    <t>Taxi bouro-sai sa</t>
  </si>
  <si>
    <t>Taxi : domicile - texaco</t>
  </si>
  <si>
    <t>Taxi : texaco - zone de la frontière</t>
  </si>
  <si>
    <t xml:space="preserve">Taxi : zone </t>
  </si>
  <si>
    <t xml:space="preserve">Taxi : bureau </t>
  </si>
  <si>
    <t>Taxi d</t>
  </si>
  <si>
    <t>Taxi agence-hotel,</t>
  </si>
  <si>
    <t>Taxi hotel-</t>
  </si>
  <si>
    <t xml:space="preserve">Taxi : hotel </t>
  </si>
  <si>
    <t>Taxi tricycle hotel-</t>
  </si>
  <si>
    <t xml:space="preserve">Taxi : Bureau </t>
  </si>
  <si>
    <t>Taxi moto b</t>
  </si>
  <si>
    <t>Taxi : Domicile</t>
  </si>
  <si>
    <t xml:space="preserve">Taxi : Agence </t>
  </si>
  <si>
    <t xml:space="preserve">Taxi: Hotel- </t>
  </si>
  <si>
    <t xml:space="preserve"> Taxi:</t>
  </si>
  <si>
    <t xml:space="preserve">Achat snacks </t>
  </si>
  <si>
    <t>Taxi: H</t>
  </si>
  <si>
    <t>Taxi:Zone</t>
  </si>
  <si>
    <t xml:space="preserve">IT87-CONGO Frais d'hôtel  </t>
  </si>
  <si>
    <t>CONGO frais d'hôtel d</t>
  </si>
  <si>
    <t>Location véhicule</t>
  </si>
  <si>
    <t>Taxi hotel</t>
  </si>
  <si>
    <t xml:space="preserve">Taxi:5 chemin - </t>
  </si>
  <si>
    <t>Taxi agence</t>
  </si>
  <si>
    <t>achat billet: /T73</t>
  </si>
  <si>
    <t xml:space="preserve">T73 - CONGO Food Allowance </t>
  </si>
  <si>
    <t>P29 - CONGO Foodallowance</t>
  </si>
  <si>
    <t xml:space="preserve">P29 - CONGO Frais d'hotel </t>
  </si>
  <si>
    <t xml:space="preserve">T73- CONGO Frais d'hotel </t>
  </si>
  <si>
    <t xml:space="preserve">P29 - Frais d'hotel </t>
  </si>
  <si>
    <t>achat billet /T73</t>
  </si>
  <si>
    <t>achat billet :/T73</t>
  </si>
  <si>
    <t xml:space="preserve">IT87 - CONGO Food Allowance </t>
  </si>
  <si>
    <t>Achat billet: / G12</t>
  </si>
  <si>
    <t>G12 - CONGO Food Allowance</t>
  </si>
  <si>
    <t>Taxi : Village</t>
  </si>
  <si>
    <t>Achat billet: /T73</t>
  </si>
  <si>
    <t xml:space="preserve"> G12 - CONGO frais d'hotel</t>
  </si>
  <si>
    <t>Achat billet/G12</t>
  </si>
  <si>
    <t xml:space="preserve">IT87 - CONGO Frais d'hôtel </t>
  </si>
  <si>
    <t xml:space="preserve">G12 congo frais d'hotel </t>
  </si>
  <si>
    <t>Achat billet :/G12</t>
  </si>
  <si>
    <t>IT87 - CONGO Frais d'hôtel</t>
  </si>
  <si>
    <t>Achat billet :/T73</t>
  </si>
  <si>
    <t xml:space="preserve">G12 - CONGO frais d'hotel </t>
  </si>
  <si>
    <t>Achat du billet /G12</t>
  </si>
  <si>
    <t>P29 - CONGO Frais d'hotel</t>
  </si>
  <si>
    <t>Achat  billet : /T73</t>
  </si>
  <si>
    <t>G12-CONGO frais d'hotel</t>
  </si>
  <si>
    <t>Achat du billet/G12</t>
  </si>
  <si>
    <t>G12 - CONGO frais d'hotel</t>
  </si>
  <si>
    <t>IT87 - CONGO Frais d'hôtel )</t>
  </si>
  <si>
    <t>Achat billet :/ T73</t>
  </si>
  <si>
    <t xml:space="preserve">IT87 - CONGO Ration </t>
  </si>
  <si>
    <t xml:space="preserve">T73 - CONGO Ration </t>
  </si>
  <si>
    <t>Achat billet  /G12</t>
  </si>
  <si>
    <t xml:space="preserve">G12 - CONGO  Ration </t>
  </si>
  <si>
    <t>Achat billet:/G12</t>
  </si>
  <si>
    <t>IT87 - CONGOFrais d'hôtel</t>
  </si>
  <si>
    <t xml:space="preserve">G12 Congo frais d'hotel </t>
  </si>
  <si>
    <t>Achat billet / G12</t>
  </si>
  <si>
    <t xml:space="preserve">G12-CONGO  frais d'hotel </t>
  </si>
  <si>
    <t>Achat billet /G12</t>
  </si>
  <si>
    <t xml:space="preserve">G12 CONGO frais d'hotel </t>
  </si>
  <si>
    <t xml:space="preserve">P29 - CONGO Frais hotel </t>
  </si>
  <si>
    <t>Locaation vehicule/P29</t>
  </si>
  <si>
    <t>P29 - CONGO Frais de Location d'appartement</t>
  </si>
  <si>
    <t xml:space="preserve">P29 - CONGO Frais de location d'appartement </t>
  </si>
  <si>
    <t xml:space="preserve">IT87 - CONGO Ration  </t>
  </si>
  <si>
    <t>Achat billet billet /P29</t>
  </si>
  <si>
    <t>Achat billet :  /T73</t>
  </si>
  <si>
    <t>G12 - GONGO Ration</t>
  </si>
  <si>
    <t>P29- CONGO Ration</t>
  </si>
  <si>
    <t>achat billet : /T73</t>
  </si>
  <si>
    <t xml:space="preserve">IT87- CONGO Frais d'hôtel </t>
  </si>
  <si>
    <t xml:space="preserve">T73 - CONGO Rattion  </t>
  </si>
  <si>
    <t>Location vehicule /P29</t>
  </si>
  <si>
    <t>Location vehicule/P29</t>
  </si>
  <si>
    <t xml:space="preserve">G12 - CONGO Frais d'hotel </t>
  </si>
  <si>
    <t xml:space="preserve">IT87 - CONGO Frais d'hôtel  </t>
  </si>
  <si>
    <t>achat billet/T73 :/T73</t>
  </si>
  <si>
    <t>achat billet/T73</t>
  </si>
  <si>
    <t xml:space="preserve">G12-CONGO Frais d'hotel </t>
  </si>
  <si>
    <t xml:space="preserve">G12-CONGO frais d'hotel </t>
  </si>
  <si>
    <t>G12-CONGO Frais d'hotel</t>
  </si>
  <si>
    <t>Achat billet</t>
  </si>
  <si>
    <t xml:space="preserve">T73 - CONGO Frais d'hotel  </t>
  </si>
  <si>
    <t>Achat billet/ P29</t>
  </si>
  <si>
    <t xml:space="preserve">G12-CONGO Rations </t>
  </si>
  <si>
    <t>G12-CONGO Frais d'hôtel</t>
  </si>
  <si>
    <t>Achat billet  / T73</t>
  </si>
  <si>
    <t>Achat bilet /G12</t>
  </si>
  <si>
    <t>Achat billet/T73</t>
  </si>
  <si>
    <t>T73-CONGO Ration</t>
  </si>
  <si>
    <t xml:space="preserve">G12-CONGO Rations  </t>
  </si>
  <si>
    <t xml:space="preserve">G12-CONGO Frais d'hôtel </t>
  </si>
  <si>
    <t>Achat billet  / G12</t>
  </si>
  <si>
    <t>achat billet/G12</t>
  </si>
  <si>
    <t>IT87-CONGO Frais d'hôtel</t>
  </si>
  <si>
    <t>P29 -CONGO Frais d'hotel d</t>
  </si>
  <si>
    <t>Achat billet : /T73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</si>
</sst>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1" formatCode="_-* #,##0_-;\-* #,##0_-;_-* &quot;-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.00_ ;[Red]\-#,##0.00\ "/>
    <numFmt numFmtId="167" formatCode="#,##0.0000"/>
    <numFmt numFmtId="168" formatCode="_-* #,##0\ _€_-;\-* #,##0\ _€_-;_-* &quot;-&quot;??\ _€_-;_-@_-"/>
    <numFmt numFmtId="169" formatCode="#,##0.00;[Red]#,##0.00"/>
    <numFmt numFmtId="170" formatCode="[$-409]mmmmm;@"/>
    <numFmt numFmtId="171" formatCode="[$-40C]d\-mmm;@"/>
    <numFmt numFmtId="172" formatCode="_-* #,##0\ _€_-;\-* #,##0\ _€_-;_-* &quot;-&quot;??\ _€_-;_-@"/>
    <numFmt numFmtId="173" formatCode="0.000"/>
    <numFmt numFmtId="174" formatCode="[$-40C]d\-mmm\-yy;@"/>
    <numFmt numFmtId="175" formatCode="#,##0_ ;[Red]\-#,##0\ "/>
    <numFmt numFmtId="176" formatCode="[$-40C]General"/>
    <numFmt numFmtId="177" formatCode="[$-409]d\-mmm\-yy;@"/>
    <numFmt numFmtId="178" formatCode="[$-40C]0"/>
    <numFmt numFmtId="179" formatCode="&quot; &quot;#,##0&quot;    &quot;;&quot;-&quot;#,##0&quot;    &quot;;&quot; -&quot;#&quot;    &quot;;&quot; &quot;@&quot; &quot;"/>
    <numFmt numFmtId="180" formatCode="0.0000"/>
    <numFmt numFmtId="181" formatCode="_-* #,##0.000\ _€_-;\-* #,##0.000\ _€_-;_-* &quot;-&quot;??\ _€_-;_-@_-"/>
    <numFmt numFmtId="182" formatCode="_-* #,##0.000\ _€_-;\-* #,##0.000\ _€_-;_-* &quot;-&quot;???\ _€_-;_-@_-"/>
    <numFmt numFmtId="183" formatCode="0.0"/>
    <numFmt numFmtId="184" formatCode="dd/mm/yyyy;@"/>
    <numFmt numFmtId="185" formatCode="#,##0.0000_ ;[Red]\-#,##0.0000\ "/>
    <numFmt numFmtId="186" formatCode="#,##0.000"/>
  </numFmts>
  <fonts count="86">
    <font>
      <sz val="11"/>
      <color theme="1"/>
      <name val="Aptos Narrow"/>
      <family val="2"/>
      <charset val="238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charset val="238"/>
      <scheme val="minor"/>
    </font>
    <font>
      <b/>
      <sz val="11"/>
      <color theme="1"/>
      <name val="Aptos Narrow"/>
      <family val="2"/>
      <charset val="238"/>
      <scheme val="minor"/>
    </font>
    <font>
      <b/>
      <sz val="11"/>
      <name val="Calibri"/>
      <family val="2"/>
      <charset val="238"/>
    </font>
    <font>
      <sz val="10"/>
      <name val="Arial"/>
      <family val="2"/>
    </font>
    <font>
      <b/>
      <sz val="10"/>
      <name val="Calibri"/>
      <family val="2"/>
    </font>
    <font>
      <b/>
      <sz val="10"/>
      <name val="Calibri"/>
      <family val="2"/>
      <charset val="238"/>
    </font>
    <font>
      <sz val="10"/>
      <name val="Calibri"/>
      <family val="2"/>
    </font>
    <font>
      <sz val="10"/>
      <color indexed="8"/>
      <name val="Calibri"/>
      <family val="2"/>
    </font>
    <font>
      <sz val="10"/>
      <name val="Calibri"/>
      <family val="2"/>
      <charset val="238"/>
    </font>
    <font>
      <b/>
      <sz val="10"/>
      <color indexed="8"/>
      <name val="Calibri"/>
      <family val="2"/>
    </font>
    <font>
      <b/>
      <sz val="10"/>
      <color indexed="8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1"/>
      <name val="Aptos Narrow"/>
      <family val="2"/>
      <charset val="238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238"/>
    </font>
    <font>
      <b/>
      <sz val="10"/>
      <color theme="1"/>
      <name val="Calibri"/>
      <family val="2"/>
    </font>
    <font>
      <sz val="8"/>
      <color theme="1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10"/>
      <color rgb="FFFF0000"/>
      <name val="Calibri"/>
      <family val="2"/>
    </font>
    <font>
      <b/>
      <sz val="8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2"/>
      <color theme="1"/>
      <name val="Aptos Narrow"/>
      <family val="2"/>
      <charset val="238"/>
      <scheme val="minor"/>
    </font>
    <font>
      <sz val="10"/>
      <color theme="1"/>
      <name val="Aptos Narrow"/>
      <family val="2"/>
      <scheme val="minor"/>
    </font>
    <font>
      <sz val="8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b/>
      <sz val="10"/>
      <name val="Times New Roman"/>
      <family val="1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Times New Roman"/>
      <family val="1"/>
      <charset val="238"/>
    </font>
    <font>
      <sz val="9"/>
      <color theme="1"/>
      <name val="Arial Narrow"/>
      <family val="2"/>
    </font>
    <font>
      <sz val="9"/>
      <name val="Arial Narrow"/>
      <family val="2"/>
    </font>
    <font>
      <sz val="11"/>
      <color indexed="8"/>
      <name val="Calibri"/>
      <family val="2"/>
    </font>
    <font>
      <sz val="9"/>
      <color indexed="8"/>
      <name val="Arial Narrow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1"/>
      <color theme="1"/>
      <name val="Arial Narrow"/>
      <family val="2"/>
    </font>
    <font>
      <sz val="1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name val="Arial Narrow"/>
      <family val="2"/>
    </font>
    <font>
      <b/>
      <sz val="12"/>
      <name val="Arial Narrow"/>
      <family val="2"/>
    </font>
    <font>
      <sz val="11"/>
      <color rgb="FF000000"/>
      <name val="Calibri"/>
      <family val="2"/>
    </font>
    <font>
      <sz val="12"/>
      <color theme="1"/>
      <name val="Arial Narrow"/>
      <family val="2"/>
      <charset val="238"/>
    </font>
    <font>
      <sz val="12"/>
      <color theme="1"/>
      <name val="Arial Narrow"/>
      <family val="2"/>
    </font>
    <font>
      <sz val="11"/>
      <color theme="1"/>
      <name val="Times New Roman"/>
      <family val="1"/>
    </font>
    <font>
      <sz val="12"/>
      <color rgb="FF000000"/>
      <name val="Calibri"/>
      <family val="2"/>
    </font>
    <font>
      <b/>
      <sz val="12"/>
      <color theme="1"/>
      <name val="Arial Narrow"/>
      <family val="2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sz val="12"/>
      <color theme="1"/>
      <name val="Arial Narrow"/>
      <family val="2"/>
      <charset val="238"/>
    </font>
    <font>
      <sz val="10"/>
      <color rgb="FF000000"/>
      <name val="Times New Roman"/>
      <family val="1"/>
    </font>
    <font>
      <sz val="12"/>
      <name val="Calibri"/>
      <family val="2"/>
    </font>
    <font>
      <sz val="12"/>
      <color theme="1"/>
      <name val="Calibri"/>
      <family val="2"/>
    </font>
    <font>
      <sz val="12"/>
      <color rgb="FF000000"/>
      <name val="Arial"/>
      <family val="2"/>
    </font>
    <font>
      <sz val="12"/>
      <color rgb="FF000000"/>
      <name val="Arial Narrow"/>
      <family val="2"/>
    </font>
    <font>
      <sz val="12"/>
      <color rgb="FF000000"/>
      <name val="Times New Roman"/>
      <family val="1"/>
    </font>
    <font>
      <sz val="11"/>
      <color rgb="FF000000"/>
      <name val="Times New Roman"/>
      <family val="1"/>
    </font>
    <font>
      <b/>
      <sz val="12"/>
      <color theme="1"/>
      <name val="Aptos Narrow"/>
      <family val="2"/>
      <scheme val="minor"/>
    </font>
    <font>
      <sz val="12"/>
      <name val="Aptos Narrow"/>
      <family val="2"/>
      <scheme val="minor"/>
    </font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</font>
    <font>
      <sz val="11"/>
      <color indexed="8"/>
      <name val="Calibri"/>
      <family val="2"/>
      <charset val="238"/>
    </font>
    <font>
      <sz val="11"/>
      <name val="Calibri"/>
      <family val="2"/>
      <charset val="238"/>
    </font>
    <font>
      <b/>
      <sz val="11"/>
      <color theme="1"/>
      <name val="Calibri"/>
      <family val="2"/>
      <charset val="238"/>
    </font>
    <font>
      <sz val="11"/>
      <color rgb="FFFF0000"/>
      <name val="Calibri"/>
      <family val="2"/>
      <charset val="238"/>
    </font>
    <font>
      <sz val="11"/>
      <color theme="3"/>
      <name val="Calibri"/>
      <family val="2"/>
      <charset val="238"/>
    </font>
    <font>
      <sz val="11"/>
      <name val="Calibri"/>
      <family val="2"/>
    </font>
    <font>
      <b/>
      <sz val="12"/>
      <name val="Aptos Narrow"/>
      <family val="2"/>
      <scheme val="minor"/>
    </font>
    <font>
      <sz val="12"/>
      <color indexed="8"/>
      <name val="Arial Narrow"/>
      <family val="2"/>
    </font>
    <font>
      <i/>
      <sz val="12"/>
      <color indexed="10"/>
      <name val="Aptos Narrow"/>
      <family val="2"/>
      <scheme val="minor"/>
    </font>
    <font>
      <b/>
      <i/>
      <sz val="12"/>
      <name val="Aptos Narrow"/>
      <family val="2"/>
      <scheme val="minor"/>
    </font>
    <font>
      <i/>
      <sz val="12"/>
      <name val="Aptos Narrow"/>
      <family val="2"/>
      <scheme val="minor"/>
    </font>
    <font>
      <b/>
      <sz val="12"/>
      <color theme="3" tint="-0.499984740745262"/>
      <name val="Aptos Narrow"/>
      <family val="2"/>
      <scheme val="minor"/>
    </font>
    <font>
      <sz val="12"/>
      <color theme="3" tint="-0.499984740745262"/>
      <name val="Aptos Narrow"/>
      <family val="2"/>
      <scheme val="minor"/>
    </font>
    <font>
      <sz val="12"/>
      <color indexed="8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sz val="12"/>
      <color theme="1"/>
      <name val="Aptos Narrow"/>
      <family val="2"/>
      <charset val="238"/>
      <scheme val="minor"/>
    </font>
    <font>
      <sz val="12"/>
      <color rgb="FF000000"/>
      <name val="Calibri"/>
      <family val="2"/>
      <charset val="238"/>
    </font>
    <font>
      <b/>
      <sz val="12"/>
      <color theme="1"/>
      <name val="Aptos Narrow"/>
      <scheme val="minor"/>
    </font>
    <font>
      <sz val="12"/>
      <color theme="1"/>
      <name val="Aptos Narrow"/>
      <family val="2"/>
      <charset val="1"/>
      <scheme val="minor"/>
    </font>
    <font>
      <sz val="12"/>
      <color theme="1"/>
      <name val="Times New Roman"/>
      <family val="1"/>
    </font>
    <font>
      <b/>
      <sz val="12"/>
      <name val="Calibri"/>
      <family val="2"/>
      <charset val="238"/>
    </font>
  </fonts>
  <fills count="21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BEEF4"/>
        <bgColor rgb="FFDBEEF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DBEEF4"/>
      </patternFill>
    </fill>
    <fill>
      <patternFill patternType="solid">
        <fgColor rgb="FFFFFF99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13">
    <xf numFmtId="0" fontId="0" fillId="0" borderId="0"/>
    <xf numFmtId="43" fontId="5" fillId="0" borderId="0" applyFont="0" applyFill="0" applyBorder="0" applyAlignment="0" applyProtection="0"/>
    <xf numFmtId="0" fontId="8" fillId="0" borderId="0"/>
    <xf numFmtId="0" fontId="36" fillId="0" borderId="0"/>
    <xf numFmtId="177" fontId="45" fillId="0" borderId="0" applyBorder="0" applyProtection="0"/>
    <xf numFmtId="165" fontId="49" fillId="0" borderId="0">
      <protection locked="0"/>
    </xf>
    <xf numFmtId="165" fontId="4" fillId="0" borderId="0" applyFont="0" applyFill="0" applyBorder="0" applyAlignment="0" applyProtection="0"/>
    <xf numFmtId="0" fontId="8" fillId="0" borderId="0"/>
    <xf numFmtId="165" fontId="42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8" fillId="0" borderId="0"/>
  </cellStyleXfs>
  <cellXfs count="571">
    <xf numFmtId="0" fontId="0" fillId="0" borderId="0" xfId="0"/>
    <xf numFmtId="0" fontId="7" fillId="2" borderId="1" xfId="0" applyFont="1" applyFill="1" applyBorder="1" applyAlignment="1">
      <alignment horizontal="left" vertical="center" wrapText="1"/>
    </xf>
    <xf numFmtId="167" fontId="7" fillId="2" borderId="1" xfId="0" applyNumberFormat="1" applyFont="1" applyFill="1" applyBorder="1" applyAlignment="1">
      <alignment horizontal="righ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right" vertical="center" wrapText="1"/>
    </xf>
    <xf numFmtId="166" fontId="10" fillId="3" borderId="1" xfId="2" applyNumberFormat="1" applyFont="1" applyFill="1" applyBorder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/>
    </xf>
    <xf numFmtId="166" fontId="11" fillId="0" borderId="1" xfId="1" applyNumberFormat="1" applyFont="1" applyBorder="1"/>
    <xf numFmtId="166" fontId="12" fillId="0" borderId="1" xfId="0" applyNumberFormat="1" applyFont="1" applyBorder="1" applyAlignment="1">
      <alignment vertical="top" wrapText="1"/>
    </xf>
    <xf numFmtId="166" fontId="13" fillId="0" borderId="1" xfId="1" applyNumberFormat="1" applyFont="1" applyBorder="1"/>
    <xf numFmtId="166" fontId="13" fillId="0" borderId="2" xfId="1" applyNumberFormat="1" applyFont="1" applyBorder="1"/>
    <xf numFmtId="166" fontId="10" fillId="3" borderId="1" xfId="1" applyNumberFormat="1" applyFont="1" applyFill="1" applyBorder="1"/>
    <xf numFmtId="166" fontId="9" fillId="0" borderId="1" xfId="1" applyNumberFormat="1" applyFont="1" applyBorder="1"/>
    <xf numFmtId="166" fontId="14" fillId="0" borderId="1" xfId="0" applyNumberFormat="1" applyFont="1" applyBorder="1" applyAlignment="1">
      <alignment vertical="top" wrapText="1"/>
    </xf>
    <xf numFmtId="14" fontId="15" fillId="4" borderId="1" xfId="0" applyNumberFormat="1" applyFont="1" applyFill="1" applyBorder="1"/>
    <xf numFmtId="166" fontId="16" fillId="4" borderId="1" xfId="1" applyNumberFormat="1" applyFont="1" applyFill="1" applyBorder="1"/>
    <xf numFmtId="166" fontId="17" fillId="4" borderId="1" xfId="0" applyNumberFormat="1" applyFont="1" applyFill="1" applyBorder="1"/>
    <xf numFmtId="166" fontId="10" fillId="4" borderId="1" xfId="1" applyNumberFormat="1" applyFont="1" applyFill="1" applyBorder="1"/>
    <xf numFmtId="14" fontId="12" fillId="0" borderId="1" xfId="0" applyNumberFormat="1" applyFont="1" applyBorder="1"/>
    <xf numFmtId="166" fontId="12" fillId="0" borderId="1" xfId="0" applyNumberFormat="1" applyFont="1" applyBorder="1"/>
    <xf numFmtId="166" fontId="11" fillId="0" borderId="1" xfId="1" applyNumberFormat="1" applyFont="1" applyBorder="1" applyAlignment="1">
      <alignment horizontal="center"/>
    </xf>
    <xf numFmtId="166" fontId="18" fillId="0" borderId="1" xfId="1" applyNumberFormat="1" applyFont="1" applyBorder="1"/>
    <xf numFmtId="166" fontId="12" fillId="0" borderId="2" xfId="0" applyNumberFormat="1" applyFont="1" applyBorder="1"/>
    <xf numFmtId="0" fontId="19" fillId="0" borderId="1" xfId="0" applyFont="1" applyBorder="1"/>
    <xf numFmtId="166" fontId="19" fillId="0" borderId="1" xfId="0" applyNumberFormat="1" applyFont="1" applyBorder="1"/>
    <xf numFmtId="166" fontId="19" fillId="0" borderId="1" xfId="1" applyNumberFormat="1" applyFont="1" applyBorder="1"/>
    <xf numFmtId="166" fontId="19" fillId="5" borderId="1" xfId="1" applyNumberFormat="1" applyFont="1" applyFill="1" applyBorder="1"/>
    <xf numFmtId="166" fontId="19" fillId="0" borderId="2" xfId="1" applyNumberFormat="1" applyFont="1" applyBorder="1"/>
    <xf numFmtId="0" fontId="21" fillId="0" borderId="3" xfId="0" applyFont="1" applyBorder="1"/>
    <xf numFmtId="166" fontId="22" fillId="0" borderId="3" xfId="0" applyNumberFormat="1" applyFont="1" applyBorder="1"/>
    <xf numFmtId="166" fontId="23" fillId="0" borderId="3" xfId="0" applyNumberFormat="1" applyFont="1" applyBorder="1"/>
    <xf numFmtId="166" fontId="22" fillId="5" borderId="3" xfId="0" applyNumberFormat="1" applyFont="1" applyFill="1" applyBorder="1"/>
    <xf numFmtId="166" fontId="22" fillId="0" borderId="5" xfId="0" applyNumberFormat="1" applyFont="1" applyBorder="1"/>
    <xf numFmtId="166" fontId="24" fillId="3" borderId="1" xfId="1" applyNumberFormat="1" applyFont="1" applyFill="1" applyBorder="1"/>
    <xf numFmtId="0" fontId="20" fillId="0" borderId="3" xfId="0" applyFont="1" applyBorder="1"/>
    <xf numFmtId="166" fontId="14" fillId="0" borderId="3" xfId="0" applyNumberFormat="1" applyFont="1" applyBorder="1"/>
    <xf numFmtId="166" fontId="14" fillId="0" borderId="5" xfId="0" applyNumberFormat="1" applyFont="1" applyBorder="1"/>
    <xf numFmtId="0" fontId="20" fillId="7" borderId="6" xfId="0" applyFont="1" applyFill="1" applyBorder="1"/>
    <xf numFmtId="166" fontId="14" fillId="7" borderId="7" xfId="0" applyNumberFormat="1" applyFont="1" applyFill="1" applyBorder="1"/>
    <xf numFmtId="166" fontId="14" fillId="7" borderId="8" xfId="0" applyNumberFormat="1" applyFont="1" applyFill="1" applyBorder="1"/>
    <xf numFmtId="166" fontId="10" fillId="7" borderId="1" xfId="1" applyNumberFormat="1" applyFont="1" applyFill="1" applyBorder="1"/>
    <xf numFmtId="0" fontId="12" fillId="0" borderId="9" xfId="0" applyFont="1" applyBorder="1"/>
    <xf numFmtId="166" fontId="12" fillId="0" borderId="9" xfId="0" applyNumberFormat="1" applyFont="1" applyBorder="1"/>
    <xf numFmtId="166" fontId="12" fillId="0" borderId="10" xfId="0" applyNumberFormat="1" applyFont="1" applyBorder="1"/>
    <xf numFmtId="0" fontId="20" fillId="0" borderId="1" xfId="0" applyFont="1" applyBorder="1"/>
    <xf numFmtId="166" fontId="20" fillId="0" borderId="1" xfId="0" applyNumberFormat="1" applyFont="1" applyBorder="1"/>
    <xf numFmtId="166" fontId="14" fillId="0" borderId="1" xfId="0" applyNumberFormat="1" applyFont="1" applyBorder="1"/>
    <xf numFmtId="166" fontId="20" fillId="0" borderId="1" xfId="1" applyNumberFormat="1" applyFont="1" applyBorder="1"/>
    <xf numFmtId="166" fontId="20" fillId="0" borderId="2" xfId="1" applyNumberFormat="1" applyFont="1" applyBorder="1"/>
    <xf numFmtId="0" fontId="12" fillId="0" borderId="0" xfId="0" applyFont="1"/>
    <xf numFmtId="166" fontId="12" fillId="0" borderId="0" xfId="0" applyNumberFormat="1" applyFont="1"/>
    <xf numFmtId="0" fontId="17" fillId="0" borderId="4" xfId="0" applyFont="1" applyBorder="1"/>
    <xf numFmtId="0" fontId="25" fillId="8" borderId="11" xfId="0" applyFont="1" applyFill="1" applyBorder="1"/>
    <xf numFmtId="166" fontId="25" fillId="8" borderId="12" xfId="0" applyNumberFormat="1" applyFont="1" applyFill="1" applyBorder="1"/>
    <xf numFmtId="166" fontId="25" fillId="8" borderId="13" xfId="0" applyNumberFormat="1" applyFont="1" applyFill="1" applyBorder="1"/>
    <xf numFmtId="166" fontId="25" fillId="8" borderId="14" xfId="0" applyNumberFormat="1" applyFont="1" applyFill="1" applyBorder="1"/>
    <xf numFmtId="0" fontId="26" fillId="3" borderId="15" xfId="0" applyFont="1" applyFill="1" applyBorder="1"/>
    <xf numFmtId="0" fontId="26" fillId="8" borderId="16" xfId="0" applyFont="1" applyFill="1" applyBorder="1" applyAlignment="1">
      <alignment wrapText="1"/>
    </xf>
    <xf numFmtId="166" fontId="25" fillId="8" borderId="17" xfId="0" applyNumberFormat="1" applyFont="1" applyFill="1" applyBorder="1" applyAlignment="1">
      <alignment wrapText="1"/>
    </xf>
    <xf numFmtId="166" fontId="25" fillId="8" borderId="1" xfId="0" applyNumberFormat="1" applyFont="1" applyFill="1" applyBorder="1" applyAlignment="1">
      <alignment wrapText="1"/>
    </xf>
    <xf numFmtId="0" fontId="26" fillId="3" borderId="18" xfId="0" applyFont="1" applyFill="1" applyBorder="1" applyAlignment="1">
      <alignment wrapText="1"/>
    </xf>
    <xf numFmtId="0" fontId="25" fillId="9" borderId="19" xfId="0" applyFont="1" applyFill="1" applyBorder="1" applyAlignment="1">
      <alignment wrapText="1"/>
    </xf>
    <xf numFmtId="166" fontId="25" fillId="9" borderId="20" xfId="0" applyNumberFormat="1" applyFont="1" applyFill="1" applyBorder="1"/>
    <xf numFmtId="166" fontId="25" fillId="9" borderId="21" xfId="0" applyNumberFormat="1" applyFont="1" applyFill="1" applyBorder="1"/>
    <xf numFmtId="4" fontId="27" fillId="9" borderId="22" xfId="0" applyNumberFormat="1" applyFont="1" applyFill="1" applyBorder="1" applyAlignment="1">
      <alignment horizontal="center" vertical="center"/>
    </xf>
    <xf numFmtId="166" fontId="26" fillId="3" borderId="23" xfId="0" applyNumberFormat="1" applyFont="1" applyFill="1" applyBorder="1"/>
    <xf numFmtId="14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14" fontId="0" fillId="0" borderId="0" xfId="0" applyNumberFormat="1"/>
    <xf numFmtId="3" fontId="7" fillId="2" borderId="1" xfId="0" applyNumberFormat="1" applyFont="1" applyFill="1" applyBorder="1" applyAlignment="1">
      <alignment vertical="center" wrapText="1"/>
    </xf>
    <xf numFmtId="3" fontId="0" fillId="0" borderId="0" xfId="0" applyNumberFormat="1"/>
    <xf numFmtId="4" fontId="7" fillId="2" borderId="1" xfId="0" applyNumberFormat="1" applyFont="1" applyFill="1" applyBorder="1" applyAlignment="1">
      <alignment horizontal="right" vertical="center" wrapText="1"/>
    </xf>
    <xf numFmtId="14" fontId="7" fillId="10" borderId="1" xfId="0" applyNumberFormat="1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horizontal="left" vertical="center" wrapText="1"/>
    </xf>
    <xf numFmtId="0" fontId="7" fillId="10" borderId="1" xfId="0" applyFont="1" applyFill="1" applyBorder="1" applyAlignment="1">
      <alignment horizontal="center" vertical="center" wrapText="1"/>
    </xf>
    <xf numFmtId="0" fontId="0" fillId="0" borderId="1" xfId="0" applyBorder="1"/>
    <xf numFmtId="166" fontId="14" fillId="2" borderId="1" xfId="0" applyNumberFormat="1" applyFont="1" applyFill="1" applyBorder="1" applyAlignment="1">
      <alignment vertical="top" wrapText="1"/>
    </xf>
    <xf numFmtId="166" fontId="9" fillId="2" borderId="1" xfId="1" applyNumberFormat="1" applyFont="1" applyFill="1" applyBorder="1"/>
    <xf numFmtId="14" fontId="9" fillId="2" borderId="1" xfId="2" applyNumberFormat="1" applyFont="1" applyFill="1" applyBorder="1" applyAlignment="1">
      <alignment horizontal="center" vertical="center"/>
    </xf>
    <xf numFmtId="166" fontId="9" fillId="2" borderId="1" xfId="2" applyNumberFormat="1" applyFont="1" applyFill="1" applyBorder="1" applyAlignment="1">
      <alignment horizontal="center" vertical="center" wrapText="1"/>
    </xf>
    <xf numFmtId="166" fontId="9" fillId="2" borderId="1" xfId="2" applyNumberFormat="1" applyFont="1" applyFill="1" applyBorder="1" applyAlignment="1">
      <alignment horizontal="center" vertical="center"/>
    </xf>
    <xf numFmtId="166" fontId="9" fillId="2" borderId="2" xfId="2" applyNumberFormat="1" applyFont="1" applyFill="1" applyBorder="1" applyAlignment="1">
      <alignment horizontal="center" vertical="center" wrapText="1"/>
    </xf>
    <xf numFmtId="0" fontId="20" fillId="4" borderId="1" xfId="0" applyFont="1" applyFill="1" applyBorder="1"/>
    <xf numFmtId="166" fontId="14" fillId="4" borderId="1" xfId="0" applyNumberFormat="1" applyFont="1" applyFill="1" applyBorder="1"/>
    <xf numFmtId="166" fontId="14" fillId="4" borderId="2" xfId="0" applyNumberFormat="1" applyFont="1" applyFill="1" applyBorder="1"/>
    <xf numFmtId="3" fontId="7" fillId="10" borderId="1" xfId="0" applyNumberFormat="1" applyFont="1" applyFill="1" applyBorder="1" applyAlignment="1">
      <alignment vertical="center" wrapText="1"/>
    </xf>
    <xf numFmtId="3" fontId="7" fillId="10" borderId="1" xfId="0" applyNumberFormat="1" applyFont="1" applyFill="1" applyBorder="1" applyAlignment="1">
      <alignment horizontal="right" vertical="center" wrapText="1"/>
    </xf>
    <xf numFmtId="3" fontId="7" fillId="4" borderId="1" xfId="0" applyNumberFormat="1" applyFont="1" applyFill="1" applyBorder="1" applyAlignment="1">
      <alignment vertical="center" wrapText="1"/>
    </xf>
    <xf numFmtId="3" fontId="7" fillId="4" borderId="1" xfId="0" applyNumberFormat="1" applyFont="1" applyFill="1" applyBorder="1" applyAlignment="1">
      <alignment horizontal="right" vertical="center" wrapText="1"/>
    </xf>
    <xf numFmtId="0" fontId="29" fillId="0" borderId="0" xfId="0" applyFont="1"/>
    <xf numFmtId="0" fontId="29" fillId="0" borderId="1" xfId="0" applyFont="1" applyBorder="1"/>
    <xf numFmtId="4" fontId="0" fillId="0" borderId="1" xfId="0" applyNumberFormat="1" applyBorder="1"/>
    <xf numFmtId="0" fontId="6" fillId="0" borderId="1" xfId="0" applyFont="1" applyBorder="1"/>
    <xf numFmtId="4" fontId="29" fillId="0" borderId="1" xfId="0" applyNumberFormat="1" applyFont="1" applyBorder="1"/>
    <xf numFmtId="3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4" borderId="1" xfId="0" applyFill="1" applyBorder="1"/>
    <xf numFmtId="0" fontId="0" fillId="10" borderId="1" xfId="0" applyFill="1" applyBorder="1"/>
    <xf numFmtId="170" fontId="30" fillId="12" borderId="1" xfId="0" applyNumberFormat="1" applyFont="1" applyFill="1" applyBorder="1" applyAlignment="1">
      <alignment horizontal="center" vertical="center" wrapText="1"/>
    </xf>
    <xf numFmtId="166" fontId="30" fillId="12" borderId="1" xfId="0" applyNumberFormat="1" applyFont="1" applyFill="1" applyBorder="1" applyAlignment="1">
      <alignment horizontal="center" vertical="center" wrapText="1"/>
    </xf>
    <xf numFmtId="49" fontId="31" fillId="13" borderId="1" xfId="0" applyNumberFormat="1" applyFont="1" applyFill="1" applyBorder="1" applyAlignment="1">
      <alignment vertical="top" wrapText="1"/>
    </xf>
    <xf numFmtId="166" fontId="31" fillId="13" borderId="1" xfId="0" applyNumberFormat="1" applyFont="1" applyFill="1" applyBorder="1" applyAlignment="1">
      <alignment vertical="top" wrapText="1"/>
    </xf>
    <xf numFmtId="166" fontId="31" fillId="13" borderId="1" xfId="0" applyNumberFormat="1" applyFont="1" applyFill="1" applyBorder="1" applyAlignment="1">
      <alignment vertical="center" wrapText="1"/>
    </xf>
    <xf numFmtId="0" fontId="32" fillId="0" borderId="1" xfId="0" applyFont="1" applyBorder="1" applyAlignment="1">
      <alignment vertical="top" wrapText="1"/>
    </xf>
    <xf numFmtId="166" fontId="32" fillId="0" borderId="1" xfId="0" applyNumberFormat="1" applyFont="1" applyBorder="1" applyAlignment="1">
      <alignment vertical="top" wrapText="1"/>
    </xf>
    <xf numFmtId="166" fontId="32" fillId="0" borderId="1" xfId="1" applyNumberFormat="1" applyFont="1" applyBorder="1" applyAlignment="1">
      <alignment vertical="top" wrapText="1"/>
    </xf>
    <xf numFmtId="17" fontId="32" fillId="0" borderId="1" xfId="0" applyNumberFormat="1" applyFont="1" applyBorder="1" applyAlignment="1">
      <alignment vertical="top" wrapText="1"/>
    </xf>
    <xf numFmtId="166" fontId="31" fillId="0" borderId="1" xfId="0" applyNumberFormat="1" applyFont="1" applyBorder="1" applyAlignment="1">
      <alignment vertical="top" wrapText="1"/>
    </xf>
    <xf numFmtId="166" fontId="31" fillId="0" borderId="1" xfId="0" applyNumberFormat="1" applyFont="1" applyBorder="1" applyAlignment="1">
      <alignment vertical="center" wrapText="1"/>
    </xf>
    <xf numFmtId="166" fontId="31" fillId="0" borderId="1" xfId="1" applyNumberFormat="1" applyFont="1" applyFill="1" applyBorder="1" applyAlignment="1">
      <alignment vertical="top" wrapText="1"/>
    </xf>
    <xf numFmtId="166" fontId="33" fillId="0" borderId="1" xfId="0" applyNumberFormat="1" applyFont="1" applyBorder="1" applyAlignment="1">
      <alignment vertical="center" wrapText="1"/>
    </xf>
    <xf numFmtId="49" fontId="33" fillId="0" borderId="1" xfId="0" applyNumberFormat="1" applyFont="1" applyBorder="1" applyAlignment="1">
      <alignment vertical="top" wrapText="1"/>
    </xf>
    <xf numFmtId="0" fontId="33" fillId="0" borderId="1" xfId="0" applyFont="1" applyBorder="1" applyAlignment="1">
      <alignment vertical="top" wrapText="1"/>
    </xf>
    <xf numFmtId="0" fontId="32" fillId="0" borderId="3" xfId="0" applyFont="1" applyBorder="1" applyAlignment="1">
      <alignment vertical="top" wrapText="1"/>
    </xf>
    <xf numFmtId="166" fontId="32" fillId="0" borderId="3" xfId="0" applyNumberFormat="1" applyFont="1" applyBorder="1" applyAlignment="1">
      <alignment vertical="top" wrapText="1"/>
    </xf>
    <xf numFmtId="166" fontId="32" fillId="0" borderId="3" xfId="1" applyNumberFormat="1" applyFont="1" applyBorder="1" applyAlignment="1">
      <alignment vertical="top" wrapText="1"/>
    </xf>
    <xf numFmtId="0" fontId="34" fillId="0" borderId="1" xfId="0" applyFont="1" applyBorder="1"/>
    <xf numFmtId="0" fontId="35" fillId="0" borderId="1" xfId="0" applyFont="1" applyBorder="1" applyAlignment="1">
      <alignment horizontal="left"/>
    </xf>
    <xf numFmtId="0" fontId="35" fillId="0" borderId="1" xfId="0" applyFont="1" applyBorder="1"/>
    <xf numFmtId="0" fontId="38" fillId="0" borderId="1" xfId="0" applyFont="1" applyBorder="1" applyAlignment="1">
      <alignment horizontal="left"/>
    </xf>
    <xf numFmtId="168" fontId="34" fillId="0" borderId="1" xfId="1" applyNumberFormat="1" applyFont="1" applyBorder="1"/>
    <xf numFmtId="168" fontId="35" fillId="0" borderId="1" xfId="1" applyNumberFormat="1" applyFont="1" applyFill="1" applyBorder="1"/>
    <xf numFmtId="0" fontId="0" fillId="0" borderId="3" xfId="0" applyBorder="1"/>
    <xf numFmtId="166" fontId="9" fillId="0" borderId="4" xfId="1" applyNumberFormat="1" applyFont="1" applyBorder="1"/>
    <xf numFmtId="172" fontId="39" fillId="5" borderId="1" xfId="0" applyNumberFormat="1" applyFont="1" applyFill="1" applyBorder="1"/>
    <xf numFmtId="172" fontId="38" fillId="0" borderId="1" xfId="0" applyNumberFormat="1" applyFont="1" applyBorder="1"/>
    <xf numFmtId="172" fontId="39" fillId="0" borderId="1" xfId="0" applyNumberFormat="1" applyFont="1" applyBorder="1"/>
    <xf numFmtId="0" fontId="0" fillId="5" borderId="1" xfId="0" applyFill="1" applyBorder="1"/>
    <xf numFmtId="14" fontId="29" fillId="5" borderId="1" xfId="0" applyNumberFormat="1" applyFont="1" applyFill="1" applyBorder="1"/>
    <xf numFmtId="0" fontId="29" fillId="5" borderId="1" xfId="0" applyFont="1" applyFill="1" applyBorder="1"/>
    <xf numFmtId="3" fontId="30" fillId="13" borderId="1" xfId="0" applyNumberFormat="1" applyFont="1" applyFill="1" applyBorder="1" applyAlignment="1">
      <alignment vertical="center" wrapText="1"/>
    </xf>
    <xf numFmtId="0" fontId="0" fillId="0" borderId="1" xfId="0" applyBorder="1" applyAlignment="1">
      <alignment vertical="center"/>
    </xf>
    <xf numFmtId="0" fontId="42" fillId="0" borderId="1" xfId="0" applyFont="1" applyBorder="1" applyAlignment="1">
      <alignment vertical="center"/>
    </xf>
    <xf numFmtId="0" fontId="0" fillId="3" borderId="1" xfId="0" applyFill="1" applyBorder="1" applyAlignment="1">
      <alignment vertical="center"/>
    </xf>
    <xf numFmtId="4" fontId="11" fillId="3" borderId="1" xfId="0" applyNumberFormat="1" applyFont="1" applyFill="1" applyBorder="1" applyAlignment="1">
      <alignment horizontal="center" vertical="center"/>
    </xf>
    <xf numFmtId="174" fontId="43" fillId="0" borderId="0" xfId="0" applyNumberFormat="1" applyFont="1"/>
    <xf numFmtId="0" fontId="43" fillId="0" borderId="0" xfId="0" applyFont="1"/>
    <xf numFmtId="0" fontId="44" fillId="0" borderId="0" xfId="0" applyFont="1"/>
    <xf numFmtId="3" fontId="43" fillId="0" borderId="0" xfId="0" applyNumberFormat="1" applyFont="1"/>
    <xf numFmtId="175" fontId="44" fillId="0" borderId="0" xfId="0" applyNumberFormat="1" applyFont="1"/>
    <xf numFmtId="174" fontId="44" fillId="14" borderId="48" xfId="3" applyNumberFormat="1" applyFont="1" applyFill="1" applyBorder="1"/>
    <xf numFmtId="176" fontId="44" fillId="14" borderId="48" xfId="3" applyNumberFormat="1" applyFont="1" applyFill="1" applyBorder="1"/>
    <xf numFmtId="3" fontId="44" fillId="14" borderId="48" xfId="4" applyNumberFormat="1" applyFont="1" applyFill="1" applyBorder="1"/>
    <xf numFmtId="176" fontId="43" fillId="0" borderId="0" xfId="3" applyNumberFormat="1" applyFont="1"/>
    <xf numFmtId="0" fontId="47" fillId="0" borderId="1" xfId="0" applyFont="1" applyBorder="1" applyAlignment="1">
      <alignment vertical="center"/>
    </xf>
    <xf numFmtId="0" fontId="40" fillId="5" borderId="1" xfId="0" applyFont="1" applyFill="1" applyBorder="1"/>
    <xf numFmtId="174" fontId="47" fillId="5" borderId="1" xfId="3" applyNumberFormat="1" applyFont="1" applyFill="1" applyBorder="1" applyAlignment="1">
      <alignment vertical="top" wrapText="1"/>
    </xf>
    <xf numFmtId="0" fontId="0" fillId="0" borderId="0" xfId="0" applyAlignment="1">
      <alignment horizontal="left"/>
    </xf>
    <xf numFmtId="164" fontId="0" fillId="0" borderId="0" xfId="0" applyNumberFormat="1"/>
    <xf numFmtId="168" fontId="6" fillId="5" borderId="0" xfId="1" applyNumberFormat="1" applyFont="1" applyFill="1" applyBorder="1"/>
    <xf numFmtId="0" fontId="51" fillId="0" borderId="0" xfId="0" applyFont="1"/>
    <xf numFmtId="3" fontId="51" fillId="0" borderId="0" xfId="0" applyNumberFormat="1" applyFont="1"/>
    <xf numFmtId="0" fontId="51" fillId="0" borderId="0" xfId="0" applyFont="1" applyAlignment="1">
      <alignment horizontal="center"/>
    </xf>
    <xf numFmtId="0" fontId="51" fillId="0" borderId="0" xfId="0" applyFont="1" applyAlignment="1">
      <alignment horizontal="right"/>
    </xf>
    <xf numFmtId="166" fontId="11" fillId="3" borderId="1" xfId="1" applyNumberFormat="1" applyFont="1" applyFill="1" applyBorder="1"/>
    <xf numFmtId="166" fontId="12" fillId="3" borderId="1" xfId="0" applyNumberFormat="1" applyFont="1" applyFill="1" applyBorder="1" applyAlignment="1">
      <alignment vertical="top" wrapText="1"/>
    </xf>
    <xf numFmtId="166" fontId="13" fillId="3" borderId="1" xfId="1" applyNumberFormat="1" applyFont="1" applyFill="1" applyBorder="1"/>
    <xf numFmtId="166" fontId="13" fillId="3" borderId="2" xfId="1" applyNumberFormat="1" applyFont="1" applyFill="1" applyBorder="1"/>
    <xf numFmtId="175" fontId="0" fillId="0" borderId="0" xfId="0" applyNumberFormat="1"/>
    <xf numFmtId="168" fontId="35" fillId="0" borderId="0" xfId="1" applyNumberFormat="1" applyFont="1" applyFill="1" applyBorder="1"/>
    <xf numFmtId="168" fontId="0" fillId="0" borderId="0" xfId="0" applyNumberFormat="1"/>
    <xf numFmtId="166" fontId="0" fillId="0" borderId="0" xfId="0" applyNumberFormat="1"/>
    <xf numFmtId="0" fontId="34" fillId="5" borderId="1" xfId="0" applyFont="1" applyFill="1" applyBorder="1"/>
    <xf numFmtId="180" fontId="30" fillId="12" borderId="4" xfId="0" applyNumberFormat="1" applyFont="1" applyFill="1" applyBorder="1" applyAlignment="1">
      <alignment horizontal="center" vertical="center" wrapText="1"/>
    </xf>
    <xf numFmtId="180" fontId="0" fillId="0" borderId="0" xfId="0" applyNumberFormat="1"/>
    <xf numFmtId="3" fontId="0" fillId="5" borderId="1" xfId="0" applyNumberFormat="1" applyFill="1" applyBorder="1"/>
    <xf numFmtId="168" fontId="39" fillId="5" borderId="1" xfId="1" applyNumberFormat="1" applyFont="1" applyFill="1" applyBorder="1"/>
    <xf numFmtId="0" fontId="38" fillId="5" borderId="1" xfId="0" applyFont="1" applyFill="1" applyBorder="1" applyAlignment="1">
      <alignment horizontal="left"/>
    </xf>
    <xf numFmtId="0" fontId="34" fillId="0" borderId="9" xfId="0" applyFont="1" applyBorder="1"/>
    <xf numFmtId="172" fontId="39" fillId="5" borderId="9" xfId="0" applyNumberFormat="1" applyFont="1" applyFill="1" applyBorder="1"/>
    <xf numFmtId="173" fontId="0" fillId="0" borderId="0" xfId="0" applyNumberFormat="1"/>
    <xf numFmtId="0" fontId="0" fillId="0" borderId="0" xfId="0" pivotButton="1"/>
    <xf numFmtId="0" fontId="0" fillId="0" borderId="0" xfId="0" applyAlignment="1">
      <alignment horizontal="left" indent="1"/>
    </xf>
    <xf numFmtId="174" fontId="46" fillId="5" borderId="1" xfId="3" applyNumberFormat="1" applyFont="1" applyFill="1" applyBorder="1" applyAlignment="1">
      <alignment vertical="top" wrapText="1"/>
    </xf>
    <xf numFmtId="174" fontId="46" fillId="5" borderId="2" xfId="3" applyNumberFormat="1" applyFont="1" applyFill="1" applyBorder="1" applyAlignment="1">
      <alignment vertical="top" wrapText="1"/>
    </xf>
    <xf numFmtId="0" fontId="47" fillId="5" borderId="1" xfId="0" applyFont="1" applyFill="1" applyBorder="1" applyAlignment="1">
      <alignment vertical="center"/>
    </xf>
    <xf numFmtId="3" fontId="47" fillId="5" borderId="1" xfId="0" applyNumberFormat="1" applyFont="1" applyFill="1" applyBorder="1" applyAlignment="1">
      <alignment vertical="center"/>
    </xf>
    <xf numFmtId="0" fontId="47" fillId="5" borderId="0" xfId="0" applyFont="1" applyFill="1" applyAlignment="1">
      <alignment vertical="center"/>
    </xf>
    <xf numFmtId="174" fontId="47" fillId="5" borderId="0" xfId="3" applyNumberFormat="1" applyFont="1" applyFill="1" applyAlignment="1">
      <alignment vertical="top" wrapText="1"/>
    </xf>
    <xf numFmtId="175" fontId="50" fillId="5" borderId="50" xfId="4" applyNumberFormat="1" applyFont="1" applyFill="1" applyBorder="1" applyAlignment="1">
      <alignment horizontal="center" vertical="center"/>
    </xf>
    <xf numFmtId="0" fontId="47" fillId="5" borderId="1" xfId="0" applyFont="1" applyFill="1" applyBorder="1"/>
    <xf numFmtId="14" fontId="29" fillId="5" borderId="0" xfId="0" applyNumberFormat="1" applyFont="1" applyFill="1"/>
    <xf numFmtId="0" fontId="42" fillId="5" borderId="1" xfId="0" applyFont="1" applyFill="1" applyBorder="1"/>
    <xf numFmtId="3" fontId="47" fillId="5" borderId="1" xfId="0" applyNumberFormat="1" applyFont="1" applyFill="1" applyBorder="1"/>
    <xf numFmtId="175" fontId="50" fillId="5" borderId="1" xfId="4" applyNumberFormat="1" applyFont="1" applyFill="1" applyBorder="1"/>
    <xf numFmtId="178" fontId="47" fillId="5" borderId="1" xfId="3" applyNumberFormat="1" applyFont="1" applyFill="1" applyBorder="1" applyAlignment="1">
      <alignment vertical="top" wrapText="1"/>
    </xf>
    <xf numFmtId="0" fontId="47" fillId="5" borderId="0" xfId="0" applyFont="1" applyFill="1"/>
    <xf numFmtId="0" fontId="5" fillId="5" borderId="1" xfId="0" applyFont="1" applyFill="1" applyBorder="1"/>
    <xf numFmtId="174" fontId="47" fillId="5" borderId="0" xfId="0" applyNumberFormat="1" applyFont="1" applyFill="1"/>
    <xf numFmtId="0" fontId="50" fillId="5" borderId="0" xfId="0" applyFont="1" applyFill="1"/>
    <xf numFmtId="3" fontId="47" fillId="5" borderId="0" xfId="0" applyNumberFormat="1" applyFont="1" applyFill="1"/>
    <xf numFmtId="175" fontId="50" fillId="5" borderId="0" xfId="0" applyNumberFormat="1" applyFont="1" applyFill="1"/>
    <xf numFmtId="174" fontId="50" fillId="16" borderId="48" xfId="3" applyNumberFormat="1" applyFont="1" applyFill="1" applyBorder="1"/>
    <xf numFmtId="176" fontId="50" fillId="16" borderId="48" xfId="3" applyNumberFormat="1" applyFont="1" applyFill="1" applyBorder="1"/>
    <xf numFmtId="3" fontId="50" fillId="16" borderId="48" xfId="4" applyNumberFormat="1" applyFont="1" applyFill="1" applyBorder="1"/>
    <xf numFmtId="175" fontId="50" fillId="16" borderId="48" xfId="4" applyNumberFormat="1" applyFont="1" applyFill="1" applyBorder="1"/>
    <xf numFmtId="176" fontId="47" fillId="5" borderId="0" xfId="3" applyNumberFormat="1" applyFont="1" applyFill="1"/>
    <xf numFmtId="0" fontId="5" fillId="5" borderId="0" xfId="0" applyFont="1" applyFill="1" applyAlignment="1">
      <alignment vertical="center"/>
    </xf>
    <xf numFmtId="174" fontId="46" fillId="5" borderId="0" xfId="0" applyNumberFormat="1" applyFont="1" applyFill="1"/>
    <xf numFmtId="3" fontId="50" fillId="5" borderId="0" xfId="0" applyNumberFormat="1" applyFont="1" applyFill="1"/>
    <xf numFmtId="174" fontId="53" fillId="16" borderId="48" xfId="3" applyNumberFormat="1" applyFont="1" applyFill="1" applyBorder="1"/>
    <xf numFmtId="175" fontId="50" fillId="16" borderId="49" xfId="4" applyNumberFormat="1" applyFont="1" applyFill="1" applyBorder="1"/>
    <xf numFmtId="168" fontId="5" fillId="5" borderId="1" xfId="0" applyNumberFormat="1" applyFont="1" applyFill="1" applyBorder="1"/>
    <xf numFmtId="168" fontId="5" fillId="5" borderId="1" xfId="1" applyNumberFormat="1" applyFont="1" applyFill="1" applyBorder="1"/>
    <xf numFmtId="0" fontId="2" fillId="5" borderId="1" xfId="0" applyFont="1" applyFill="1" applyBorder="1"/>
    <xf numFmtId="175" fontId="47" fillId="5" borderId="1" xfId="5" applyNumberFormat="1" applyFont="1" applyFill="1" applyBorder="1" applyProtection="1"/>
    <xf numFmtId="0" fontId="5" fillId="5" borderId="0" xfId="0" applyFont="1" applyFill="1"/>
    <xf numFmtId="175" fontId="50" fillId="5" borderId="0" xfId="4" applyNumberFormat="1" applyFont="1" applyFill="1" applyBorder="1"/>
    <xf numFmtId="175" fontId="5" fillId="5" borderId="1" xfId="1" applyNumberFormat="1" applyFont="1" applyFill="1" applyBorder="1"/>
    <xf numFmtId="175" fontId="50" fillId="5" borderId="0" xfId="4" applyNumberFormat="1" applyFont="1" applyFill="1" applyBorder="1" applyAlignment="1">
      <alignment horizontal="center" vertical="center"/>
    </xf>
    <xf numFmtId="174" fontId="5" fillId="5" borderId="0" xfId="0" applyNumberFormat="1" applyFont="1" applyFill="1"/>
    <xf numFmtId="3" fontId="5" fillId="5" borderId="0" xfId="0" applyNumberFormat="1" applyFont="1" applyFill="1"/>
    <xf numFmtId="175" fontId="50" fillId="5" borderId="1" xfId="4" applyNumberFormat="1" applyFont="1" applyFill="1" applyBorder="1" applyAlignment="1">
      <alignment horizontal="center" vertical="center"/>
    </xf>
    <xf numFmtId="168" fontId="5" fillId="5" borderId="0" xfId="1" applyNumberFormat="1" applyFont="1" applyFill="1" applyBorder="1"/>
    <xf numFmtId="168" fontId="29" fillId="5" borderId="0" xfId="1" applyNumberFormat="1" applyFont="1" applyFill="1" applyBorder="1"/>
    <xf numFmtId="166" fontId="33" fillId="0" borderId="1" xfId="1" applyNumberFormat="1" applyFont="1" applyFill="1" applyBorder="1" applyAlignment="1">
      <alignment vertical="top" wrapText="1"/>
    </xf>
    <xf numFmtId="166" fontId="33" fillId="0" borderId="1" xfId="0" applyNumberFormat="1" applyFont="1" applyBorder="1" applyAlignment="1">
      <alignment vertical="top" wrapText="1"/>
    </xf>
    <xf numFmtId="0" fontId="55" fillId="0" borderId="1" xfId="0" applyFont="1" applyBorder="1" applyAlignment="1">
      <alignment vertical="center"/>
    </xf>
    <xf numFmtId="175" fontId="44" fillId="14" borderId="48" xfId="4" applyNumberFormat="1" applyFont="1" applyFill="1" applyBorder="1"/>
    <xf numFmtId="168" fontId="41" fillId="5" borderId="1" xfId="1" applyNumberFormat="1" applyFont="1" applyFill="1" applyBorder="1"/>
    <xf numFmtId="168" fontId="41" fillId="5" borderId="9" xfId="1" applyNumberFormat="1" applyFont="1" applyFill="1" applyBorder="1"/>
    <xf numFmtId="168" fontId="0" fillId="0" borderId="1" xfId="1" applyNumberFormat="1" applyFont="1" applyFill="1" applyBorder="1"/>
    <xf numFmtId="168" fontId="41" fillId="0" borderId="1" xfId="1" applyNumberFormat="1" applyFont="1" applyFill="1" applyBorder="1"/>
    <xf numFmtId="168" fontId="0" fillId="0" borderId="1" xfId="1" applyNumberFormat="1" applyFont="1" applyBorder="1"/>
    <xf numFmtId="0" fontId="42" fillId="0" borderId="1" xfId="0" applyFont="1" applyBorder="1"/>
    <xf numFmtId="14" fontId="0" fillId="0" borderId="1" xfId="0" applyNumberFormat="1" applyBorder="1"/>
    <xf numFmtId="168" fontId="0" fillId="5" borderId="1" xfId="1" applyNumberFormat="1" applyFont="1" applyFill="1" applyBorder="1"/>
    <xf numFmtId="168" fontId="52" fillId="5" borderId="1" xfId="1" applyNumberFormat="1" applyFont="1" applyFill="1" applyBorder="1"/>
    <xf numFmtId="168" fontId="29" fillId="5" borderId="1" xfId="1" applyNumberFormat="1" applyFont="1" applyFill="1" applyBorder="1"/>
    <xf numFmtId="0" fontId="43" fillId="0" borderId="1" xfId="0" applyFont="1" applyBorder="1" applyAlignment="1">
      <alignment horizontal="left" vertical="center"/>
    </xf>
    <xf numFmtId="0" fontId="47" fillId="5" borderId="2" xfId="0" applyFont="1" applyFill="1" applyBorder="1"/>
    <xf numFmtId="4" fontId="11" fillId="5" borderId="1" xfId="0" applyNumberFormat="1" applyFont="1" applyFill="1" applyBorder="1" applyAlignment="1">
      <alignment horizontal="center" vertical="center"/>
    </xf>
    <xf numFmtId="166" fontId="11" fillId="5" borderId="1" xfId="1" applyNumberFormat="1" applyFont="1" applyFill="1" applyBorder="1"/>
    <xf numFmtId="166" fontId="12" fillId="5" borderId="1" xfId="0" applyNumberFormat="1" applyFont="1" applyFill="1" applyBorder="1" applyAlignment="1">
      <alignment vertical="top" wrapText="1"/>
    </xf>
    <xf numFmtId="166" fontId="13" fillId="5" borderId="1" xfId="1" applyNumberFormat="1" applyFont="1" applyFill="1" applyBorder="1"/>
    <xf numFmtId="166" fontId="13" fillId="5" borderId="2" xfId="1" applyNumberFormat="1" applyFont="1" applyFill="1" applyBorder="1"/>
    <xf numFmtId="0" fontId="0" fillId="5" borderId="1" xfId="0" applyFill="1" applyBorder="1" applyAlignment="1">
      <alignment vertical="center"/>
    </xf>
    <xf numFmtId="166" fontId="9" fillId="5" borderId="1" xfId="1" applyNumberFormat="1" applyFont="1" applyFill="1" applyBorder="1"/>
    <xf numFmtId="166" fontId="14" fillId="5" borderId="1" xfId="0" applyNumberFormat="1" applyFont="1" applyFill="1" applyBorder="1" applyAlignment="1">
      <alignment vertical="top" wrapText="1"/>
    </xf>
    <xf numFmtId="175" fontId="48" fillId="15" borderId="0" xfId="4" applyNumberFormat="1" applyFont="1" applyFill="1" applyBorder="1" applyAlignment="1">
      <alignment horizontal="right" vertical="center"/>
    </xf>
    <xf numFmtId="178" fontId="54" fillId="0" borderId="0" xfId="3" applyNumberFormat="1" applyFont="1" applyAlignment="1">
      <alignment vertical="top" wrapText="1"/>
    </xf>
    <xf numFmtId="0" fontId="34" fillId="5" borderId="9" xfId="0" applyFont="1" applyFill="1" applyBorder="1"/>
    <xf numFmtId="41" fontId="55" fillId="0" borderId="1" xfId="11" applyFont="1" applyBorder="1" applyAlignment="1">
      <alignment vertical="center"/>
    </xf>
    <xf numFmtId="14" fontId="47" fillId="0" borderId="1" xfId="0" applyNumberFormat="1" applyFont="1" applyBorder="1" applyAlignment="1">
      <alignment vertical="center"/>
    </xf>
    <xf numFmtId="168" fontId="0" fillId="0" borderId="0" xfId="1" applyNumberFormat="1" applyFont="1" applyBorder="1"/>
    <xf numFmtId="179" fontId="60" fillId="15" borderId="1" xfId="4" applyNumberFormat="1" applyFont="1" applyFill="1" applyBorder="1"/>
    <xf numFmtId="0" fontId="49" fillId="5" borderId="1" xfId="0" applyFont="1" applyFill="1" applyBorder="1"/>
    <xf numFmtId="168" fontId="42" fillId="5" borderId="1" xfId="1" applyNumberFormat="1" applyFont="1" applyFill="1" applyBorder="1"/>
    <xf numFmtId="168" fontId="49" fillId="5" borderId="1" xfId="1" applyNumberFormat="1" applyFont="1" applyFill="1" applyBorder="1" applyProtection="1"/>
    <xf numFmtId="168" fontId="42" fillId="0" borderId="1" xfId="1" applyNumberFormat="1" applyFont="1" applyBorder="1"/>
    <xf numFmtId="0" fontId="56" fillId="5" borderId="1" xfId="0" applyFont="1" applyFill="1" applyBorder="1"/>
    <xf numFmtId="0" fontId="61" fillId="5" borderId="1" xfId="0" applyFont="1" applyFill="1" applyBorder="1"/>
    <xf numFmtId="3" fontId="47" fillId="5" borderId="9" xfId="0" applyNumberFormat="1" applyFont="1" applyFill="1" applyBorder="1"/>
    <xf numFmtId="184" fontId="7" fillId="2" borderId="1" xfId="0" applyNumberFormat="1" applyFont="1" applyFill="1" applyBorder="1" applyAlignment="1">
      <alignment horizontal="center" vertical="center" wrapText="1"/>
    </xf>
    <xf numFmtId="14" fontId="63" fillId="0" borderId="1" xfId="3" applyNumberFormat="1" applyFont="1" applyBorder="1" applyAlignment="1">
      <alignment horizontal="right"/>
    </xf>
    <xf numFmtId="0" fontId="64" fillId="0" borderId="1" xfId="0" applyFont="1" applyBorder="1"/>
    <xf numFmtId="1" fontId="65" fillId="0" borderId="1" xfId="0" applyNumberFormat="1" applyFont="1" applyBorder="1" applyAlignment="1">
      <alignment wrapText="1"/>
    </xf>
    <xf numFmtId="166" fontId="64" fillId="0" borderId="1" xfId="0" applyNumberFormat="1" applyFont="1" applyBorder="1"/>
    <xf numFmtId="185" fontId="64" fillId="0" borderId="1" xfId="0" applyNumberFormat="1" applyFont="1" applyBorder="1" applyAlignment="1">
      <alignment horizontal="right"/>
    </xf>
    <xf numFmtId="0" fontId="64" fillId="0" borderId="1" xfId="0" applyFont="1" applyBorder="1" applyAlignment="1">
      <alignment horizontal="right"/>
    </xf>
    <xf numFmtId="0" fontId="64" fillId="0" borderId="1" xfId="0" applyFont="1" applyBorder="1" applyAlignment="1">
      <alignment horizontal="right" vertical="center"/>
    </xf>
    <xf numFmtId="1" fontId="65" fillId="0" borderId="1" xfId="0" applyNumberFormat="1" applyFont="1" applyBorder="1"/>
    <xf numFmtId="0" fontId="65" fillId="0" borderId="1" xfId="0" applyFont="1" applyBorder="1" applyAlignment="1">
      <alignment vertical="top" wrapText="1"/>
    </xf>
    <xf numFmtId="0" fontId="66" fillId="0" borderId="1" xfId="0" applyFont="1" applyBorder="1" applyAlignment="1">
      <alignment horizontal="right"/>
    </xf>
    <xf numFmtId="0" fontId="67" fillId="0" borderId="1" xfId="0" applyFont="1" applyBorder="1" applyAlignment="1">
      <alignment horizontal="right"/>
    </xf>
    <xf numFmtId="14" fontId="64" fillId="0" borderId="1" xfId="3" applyNumberFormat="1" applyFont="1" applyBorder="1" applyAlignment="1">
      <alignment horizontal="right"/>
    </xf>
    <xf numFmtId="166" fontId="64" fillId="0" borderId="1" xfId="0" applyNumberFormat="1" applyFont="1" applyBorder="1" applyAlignment="1">
      <alignment vertical="center"/>
    </xf>
    <xf numFmtId="185" fontId="64" fillId="0" borderId="1" xfId="0" applyNumberFormat="1" applyFont="1" applyBorder="1" applyAlignment="1">
      <alignment horizontal="right" vertical="center"/>
    </xf>
    <xf numFmtId="0" fontId="66" fillId="0" borderId="1" xfId="0" applyFont="1" applyBorder="1"/>
    <xf numFmtId="0" fontId="68" fillId="0" borderId="1" xfId="0" applyFont="1" applyBorder="1" applyAlignment="1">
      <alignment horizontal="right"/>
    </xf>
    <xf numFmtId="185" fontId="64" fillId="0" borderId="1" xfId="1" applyNumberFormat="1" applyFont="1" applyFill="1" applyBorder="1" applyAlignment="1">
      <alignment horizontal="right"/>
    </xf>
    <xf numFmtId="166" fontId="66" fillId="0" borderId="1" xfId="1" applyNumberFormat="1" applyFont="1" applyFill="1" applyBorder="1" applyAlignment="1"/>
    <xf numFmtId="49" fontId="64" fillId="0" borderId="1" xfId="0" applyNumberFormat="1" applyFont="1" applyBorder="1" applyAlignment="1">
      <alignment horizontal="right" vertical="top" wrapText="1"/>
    </xf>
    <xf numFmtId="14" fontId="69" fillId="0" borderId="1" xfId="3" applyNumberFormat="1" applyFont="1" applyBorder="1" applyAlignment="1">
      <alignment horizontal="right"/>
    </xf>
    <xf numFmtId="14" fontId="66" fillId="0" borderId="1" xfId="3" applyNumberFormat="1" applyFont="1" applyBorder="1" applyAlignment="1">
      <alignment horizontal="right"/>
    </xf>
    <xf numFmtId="49" fontId="64" fillId="3" borderId="1" xfId="0" applyNumberFormat="1" applyFont="1" applyFill="1" applyBorder="1" applyAlignment="1">
      <alignment horizontal="right" vertical="top" wrapText="1"/>
    </xf>
    <xf numFmtId="0" fontId="66" fillId="0" borderId="1" xfId="12" applyFont="1" applyBorder="1"/>
    <xf numFmtId="0" fontId="64" fillId="17" borderId="1" xfId="0" applyFont="1" applyFill="1" applyBorder="1" applyAlignment="1">
      <alignment horizontal="right"/>
    </xf>
    <xf numFmtId="178" fontId="63" fillId="0" borderId="1" xfId="3" applyNumberFormat="1" applyFont="1" applyBorder="1" applyAlignment="1">
      <alignment horizontal="right" vertical="top"/>
    </xf>
    <xf numFmtId="14" fontId="64" fillId="0" borderId="1" xfId="3" applyNumberFormat="1" applyFont="1" applyBorder="1" applyAlignment="1">
      <alignment horizontal="right" vertical="top" wrapText="1"/>
    </xf>
    <xf numFmtId="0" fontId="66" fillId="0" borderId="1" xfId="0" applyFont="1" applyBorder="1" applyAlignment="1">
      <alignment horizontal="left" vertical="center"/>
    </xf>
    <xf numFmtId="0" fontId="64" fillId="17" borderId="1" xfId="0" applyFont="1" applyFill="1" applyBorder="1"/>
    <xf numFmtId="14" fontId="66" fillId="0" borderId="1" xfId="3" applyNumberFormat="1" applyFont="1" applyBorder="1" applyAlignment="1">
      <alignment horizontal="right" vertical="top" wrapText="1"/>
    </xf>
    <xf numFmtId="0" fontId="64" fillId="0" borderId="0" xfId="0" applyFont="1"/>
    <xf numFmtId="184" fontId="63" fillId="0" borderId="1" xfId="3" applyNumberFormat="1" applyFont="1" applyBorder="1"/>
    <xf numFmtId="3" fontId="64" fillId="0" borderId="1" xfId="0" applyNumberFormat="1" applyFont="1" applyBorder="1"/>
    <xf numFmtId="1" fontId="64" fillId="0" borderId="1" xfId="0" applyNumberFormat="1" applyFont="1" applyBorder="1"/>
    <xf numFmtId="173" fontId="64" fillId="0" borderId="1" xfId="0" applyNumberFormat="1" applyFont="1" applyBorder="1"/>
    <xf numFmtId="0" fontId="64" fillId="0" borderId="2" xfId="0" applyFont="1" applyBorder="1"/>
    <xf numFmtId="184" fontId="64" fillId="0" borderId="1" xfId="3" applyNumberFormat="1" applyFont="1" applyBorder="1"/>
    <xf numFmtId="3" fontId="64" fillId="0" borderId="1" xfId="0" applyNumberFormat="1" applyFont="1" applyBorder="1" applyAlignment="1">
      <alignment vertical="center"/>
    </xf>
    <xf numFmtId="1" fontId="64" fillId="0" borderId="1" xfId="0" applyNumberFormat="1" applyFont="1" applyBorder="1" applyAlignment="1">
      <alignment vertical="center"/>
    </xf>
    <xf numFmtId="0" fontId="64" fillId="0" borderId="1" xfId="0" applyFont="1" applyBorder="1" applyAlignment="1">
      <alignment vertical="center"/>
    </xf>
    <xf numFmtId="183" fontId="64" fillId="0" borderId="1" xfId="0" applyNumberFormat="1" applyFont="1" applyBorder="1"/>
    <xf numFmtId="0" fontId="64" fillId="5" borderId="1" xfId="0" applyFont="1" applyFill="1" applyBorder="1"/>
    <xf numFmtId="0" fontId="64" fillId="3" borderId="1" xfId="0" applyFont="1" applyFill="1" applyBorder="1"/>
    <xf numFmtId="168" fontId="64" fillId="0" borderId="2" xfId="1" applyNumberFormat="1" applyFont="1" applyBorder="1"/>
    <xf numFmtId="168" fontId="64" fillId="0" borderId="1" xfId="1" applyNumberFormat="1" applyFont="1" applyBorder="1"/>
    <xf numFmtId="182" fontId="64" fillId="0" borderId="1" xfId="0" applyNumberFormat="1" applyFont="1" applyBorder="1"/>
    <xf numFmtId="181" fontId="64" fillId="5" borderId="1" xfId="1" applyNumberFormat="1" applyFont="1" applyFill="1" applyBorder="1"/>
    <xf numFmtId="0" fontId="32" fillId="13" borderId="34" xfId="0" applyFont="1" applyFill="1" applyBorder="1" applyAlignment="1">
      <alignment vertical="top" wrapText="1"/>
    </xf>
    <xf numFmtId="49" fontId="31" fillId="18" borderId="1" xfId="0" applyNumberFormat="1" applyFont="1" applyFill="1" applyBorder="1" applyAlignment="1">
      <alignment vertical="top" wrapText="1"/>
    </xf>
    <xf numFmtId="166" fontId="31" fillId="18" borderId="1" xfId="0" applyNumberFormat="1" applyFont="1" applyFill="1" applyBorder="1" applyAlignment="1">
      <alignment vertical="top" wrapText="1"/>
    </xf>
    <xf numFmtId="166" fontId="31" fillId="18" borderId="1" xfId="0" applyNumberFormat="1" applyFont="1" applyFill="1" applyBorder="1" applyAlignment="1">
      <alignment vertical="center" wrapText="1"/>
    </xf>
    <xf numFmtId="166" fontId="31" fillId="18" borderId="1" xfId="1" applyNumberFormat="1" applyFont="1" applyFill="1" applyBorder="1" applyAlignment="1">
      <alignment vertical="top" wrapText="1"/>
    </xf>
    <xf numFmtId="0" fontId="57" fillId="5" borderId="1" xfId="0" applyFont="1" applyFill="1" applyBorder="1"/>
    <xf numFmtId="0" fontId="58" fillId="5" borderId="1" xfId="3" applyFont="1" applyFill="1" applyBorder="1"/>
    <xf numFmtId="0" fontId="59" fillId="5" borderId="1" xfId="3" applyFont="1" applyFill="1" applyBorder="1"/>
    <xf numFmtId="179" fontId="59" fillId="5" borderId="1" xfId="4" applyNumberFormat="1" applyFont="1" applyFill="1" applyBorder="1" applyAlignment="1">
      <alignment horizontal="right" vertical="top" wrapText="1"/>
    </xf>
    <xf numFmtId="178" fontId="59" fillId="5" borderId="1" xfId="3" applyNumberFormat="1" applyFont="1" applyFill="1" applyBorder="1" applyAlignment="1">
      <alignment vertical="top" wrapText="1"/>
    </xf>
    <xf numFmtId="178" fontId="59" fillId="5" borderId="1" xfId="3" applyNumberFormat="1" applyFont="1" applyFill="1" applyBorder="1" applyAlignment="1">
      <alignment vertical="top"/>
    </xf>
    <xf numFmtId="175" fontId="44" fillId="5" borderId="1" xfId="4" applyNumberFormat="1" applyFont="1" applyFill="1" applyBorder="1"/>
    <xf numFmtId="175" fontId="44" fillId="5" borderId="0" xfId="4" applyNumberFormat="1" applyFont="1" applyFill="1" applyBorder="1"/>
    <xf numFmtId="0" fontId="47" fillId="5" borderId="0" xfId="0" applyFont="1" applyFill="1" applyBorder="1"/>
    <xf numFmtId="0" fontId="70" fillId="5" borderId="1" xfId="0" applyFont="1" applyFill="1" applyBorder="1" applyAlignment="1">
      <alignment vertical="center"/>
    </xf>
    <xf numFmtId="0" fontId="0" fillId="0" borderId="4" xfId="0" applyBorder="1"/>
    <xf numFmtId="168" fontId="42" fillId="0" borderId="1" xfId="1" applyNumberFormat="1" applyFont="1" applyFill="1" applyBorder="1"/>
    <xf numFmtId="168" fontId="62" fillId="0" borderId="1" xfId="1" applyNumberFormat="1" applyFont="1" applyFill="1" applyBorder="1"/>
    <xf numFmtId="0" fontId="61" fillId="0" borderId="1" xfId="0" applyFont="1" applyBorder="1"/>
    <xf numFmtId="14" fontId="49" fillId="5" borderId="1" xfId="0" applyNumberFormat="1" applyFont="1" applyFill="1" applyBorder="1" applyAlignment="1">
      <alignment horizontal="right" vertical="center"/>
    </xf>
    <xf numFmtId="3" fontId="50" fillId="16" borderId="55" xfId="4" applyNumberFormat="1" applyFont="1" applyFill="1" applyBorder="1"/>
    <xf numFmtId="175" fontId="50" fillId="16" borderId="56" xfId="4" applyNumberFormat="1" applyFont="1" applyFill="1" applyBorder="1"/>
    <xf numFmtId="3" fontId="50" fillId="16" borderId="1" xfId="4" applyNumberFormat="1" applyFont="1" applyFill="1" applyBorder="1"/>
    <xf numFmtId="1" fontId="47" fillId="5" borderId="1" xfId="0" applyNumberFormat="1" applyFont="1" applyFill="1" applyBorder="1" applyAlignment="1">
      <alignment vertical="center"/>
    </xf>
    <xf numFmtId="173" fontId="47" fillId="5" borderId="1" xfId="0" applyNumberFormat="1" applyFont="1" applyFill="1" applyBorder="1" applyAlignment="1">
      <alignment vertical="center"/>
    </xf>
    <xf numFmtId="0" fontId="0" fillId="0" borderId="0" xfId="0" applyNumberFormat="1"/>
    <xf numFmtId="171" fontId="37" fillId="0" borderId="1" xfId="3" applyNumberFormat="1" applyFont="1" applyBorder="1" applyAlignment="1"/>
    <xf numFmtId="171" fontId="37" fillId="19" borderId="1" xfId="3" applyNumberFormat="1" applyFont="1" applyFill="1" applyBorder="1" applyAlignment="1"/>
    <xf numFmtId="0" fontId="35" fillId="19" borderId="1" xfId="0" applyFont="1" applyFill="1" applyBorder="1" applyAlignment="1">
      <alignment horizontal="left"/>
    </xf>
    <xf numFmtId="172" fontId="39" fillId="19" borderId="9" xfId="0" applyNumberFormat="1" applyFont="1" applyFill="1" applyBorder="1"/>
    <xf numFmtId="172" fontId="38" fillId="19" borderId="1" xfId="0" applyNumberFormat="1" applyFont="1" applyFill="1" applyBorder="1"/>
    <xf numFmtId="168" fontId="35" fillId="19" borderId="1" xfId="1" applyNumberFormat="1" applyFont="1" applyFill="1" applyBorder="1"/>
    <xf numFmtId="168" fontId="34" fillId="19" borderId="1" xfId="1" applyNumberFormat="1" applyFont="1" applyFill="1" applyBorder="1"/>
    <xf numFmtId="3" fontId="0" fillId="19" borderId="1" xfId="0" applyNumberFormat="1" applyFill="1" applyBorder="1"/>
    <xf numFmtId="0" fontId="0" fillId="19" borderId="1" xfId="0" applyFill="1" applyBorder="1"/>
    <xf numFmtId="172" fontId="34" fillId="5" borderId="1" xfId="0" applyNumberFormat="1" applyFont="1" applyFill="1" applyBorder="1" applyAlignment="1">
      <alignment vertical="top"/>
    </xf>
    <xf numFmtId="0" fontId="38" fillId="19" borderId="1" xfId="0" applyFont="1" applyFill="1" applyBorder="1" applyAlignment="1">
      <alignment horizontal="left"/>
    </xf>
    <xf numFmtId="0" fontId="34" fillId="19" borderId="1" xfId="0" applyFont="1" applyFill="1" applyBorder="1"/>
    <xf numFmtId="172" fontId="39" fillId="19" borderId="1" xfId="0" applyNumberFormat="1" applyFont="1" applyFill="1" applyBorder="1"/>
    <xf numFmtId="3" fontId="0" fillId="3" borderId="1" xfId="0" applyNumberFormat="1" applyFill="1" applyBorder="1"/>
    <xf numFmtId="168" fontId="62" fillId="5" borderId="1" xfId="1" applyNumberFormat="1" applyFont="1" applyFill="1" applyBorder="1"/>
    <xf numFmtId="168" fontId="34" fillId="5" borderId="1" xfId="1" applyNumberFormat="1" applyFont="1" applyFill="1" applyBorder="1"/>
    <xf numFmtId="0" fontId="43" fillId="5" borderId="1" xfId="0" applyFont="1" applyFill="1" applyBorder="1" applyAlignment="1">
      <alignment horizontal="left" vertical="center"/>
    </xf>
    <xf numFmtId="0" fontId="6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0" fontId="71" fillId="0" borderId="0" xfId="0" applyFont="1" applyAlignment="1">
      <alignment horizontal="right" vertical="center"/>
    </xf>
    <xf numFmtId="17" fontId="71" fillId="0" borderId="0" xfId="0" applyNumberFormat="1" applyFont="1" applyAlignment="1">
      <alignment vertical="center"/>
    </xf>
    <xf numFmtId="17" fontId="71" fillId="0" borderId="0" xfId="0" applyNumberFormat="1" applyFont="1" applyAlignment="1">
      <alignment horizontal="left" vertical="center"/>
    </xf>
    <xf numFmtId="0" fontId="71" fillId="0" borderId="22" xfId="0" applyFont="1" applyBorder="1" applyAlignment="1">
      <alignment vertical="center"/>
    </xf>
    <xf numFmtId="0" fontId="61" fillId="11" borderId="6" xfId="0" applyFont="1" applyFill="1" applyBorder="1" applyAlignment="1">
      <alignment vertical="center"/>
    </xf>
    <xf numFmtId="0" fontId="61" fillId="11" borderId="7" xfId="0" applyFont="1" applyFill="1" applyBorder="1" applyAlignment="1">
      <alignment vertical="center"/>
    </xf>
    <xf numFmtId="0" fontId="61" fillId="11" borderId="8" xfId="0" applyFont="1" applyFill="1" applyBorder="1" applyAlignment="1">
      <alignment vertical="center"/>
    </xf>
    <xf numFmtId="0" fontId="61" fillId="11" borderId="27" xfId="0" applyFont="1" applyFill="1" applyBorder="1" applyAlignment="1">
      <alignment vertical="center"/>
    </xf>
    <xf numFmtId="0" fontId="71" fillId="11" borderId="28" xfId="0" applyFont="1" applyFill="1" applyBorder="1" applyAlignment="1">
      <alignment horizontal="center" vertical="center"/>
    </xf>
    <xf numFmtId="0" fontId="71" fillId="11" borderId="9" xfId="0" applyFont="1" applyFill="1" applyBorder="1" applyAlignment="1">
      <alignment horizontal="center" vertical="center"/>
    </xf>
    <xf numFmtId="0" fontId="71" fillId="11" borderId="10" xfId="0" applyFont="1" applyFill="1" applyBorder="1" applyAlignment="1">
      <alignment horizontal="center" vertical="center"/>
    </xf>
    <xf numFmtId="0" fontId="71" fillId="11" borderId="11" xfId="0" applyFont="1" applyFill="1" applyBorder="1" applyAlignment="1">
      <alignment horizontal="center" vertical="center"/>
    </xf>
    <xf numFmtId="0" fontId="71" fillId="11" borderId="29" xfId="0" applyFont="1" applyFill="1" applyBorder="1" applyAlignment="1">
      <alignment horizontal="center" vertical="center"/>
    </xf>
    <xf numFmtId="171" fontId="72" fillId="0" borderId="1" xfId="3" applyNumberFormat="1" applyFont="1" applyBorder="1" applyAlignment="1"/>
    <xf numFmtId="166" fontId="61" fillId="0" borderId="16" xfId="0" applyNumberFormat="1" applyFont="1" applyBorder="1"/>
    <xf numFmtId="168" fontId="43" fillId="0" borderId="1" xfId="1" applyNumberFormat="1" applyFont="1" applyFill="1" applyBorder="1"/>
    <xf numFmtId="0" fontId="43" fillId="0" borderId="1" xfId="0" applyFont="1" applyBorder="1" applyAlignment="1">
      <alignment horizontal="left"/>
    </xf>
    <xf numFmtId="0" fontId="47" fillId="0" borderId="1" xfId="0" applyFont="1" applyBorder="1"/>
    <xf numFmtId="168" fontId="47" fillId="0" borderId="1" xfId="1" applyNumberFormat="1" applyFont="1" applyBorder="1"/>
    <xf numFmtId="0" fontId="43" fillId="5" borderId="1" xfId="0" applyFont="1" applyFill="1" applyBorder="1" applyAlignment="1">
      <alignment horizontal="left"/>
    </xf>
    <xf numFmtId="168" fontId="43" fillId="0" borderId="9" xfId="1" applyNumberFormat="1" applyFont="1" applyFill="1" applyBorder="1"/>
    <xf numFmtId="171" fontId="72" fillId="2" borderId="1" xfId="3" applyNumberFormat="1" applyFont="1" applyFill="1" applyBorder="1"/>
    <xf numFmtId="1" fontId="72" fillId="0" borderId="1" xfId="3" applyNumberFormat="1" applyFont="1" applyBorder="1"/>
    <xf numFmtId="0" fontId="43" fillId="2" borderId="1" xfId="0" applyFont="1" applyFill="1" applyBorder="1" applyAlignment="1">
      <alignment horizontal="left"/>
    </xf>
    <xf numFmtId="168" fontId="47" fillId="2" borderId="1" xfId="1" applyNumberFormat="1" applyFont="1" applyFill="1" applyBorder="1"/>
    <xf numFmtId="168" fontId="43" fillId="2" borderId="1" xfId="1" applyNumberFormat="1" applyFont="1" applyFill="1" applyBorder="1"/>
    <xf numFmtId="171" fontId="72" fillId="0" borderId="1" xfId="3" applyNumberFormat="1" applyFont="1" applyBorder="1"/>
    <xf numFmtId="0" fontId="43" fillId="0" borderId="4" xfId="0" applyFont="1" applyBorder="1" applyAlignment="1">
      <alignment horizontal="left"/>
    </xf>
    <xf numFmtId="14" fontId="42" fillId="0" borderId="1" xfId="0" applyNumberFormat="1" applyFont="1" applyBorder="1" applyAlignment="1">
      <alignment horizontal="left" vertical="center"/>
    </xf>
    <xf numFmtId="0" fontId="42" fillId="0" borderId="1" xfId="0" applyFont="1" applyBorder="1" applyAlignment="1">
      <alignment horizontal="center" vertical="center"/>
    </xf>
    <xf numFmtId="3" fontId="42" fillId="0" borderId="9" xfId="0" applyNumberFormat="1" applyFont="1" applyBorder="1" applyAlignment="1">
      <alignment vertical="center"/>
    </xf>
    <xf numFmtId="0" fontId="47" fillId="5" borderId="1" xfId="0" applyFont="1" applyFill="1" applyBorder="1" applyAlignment="1">
      <alignment horizontal="left" vertical="center"/>
    </xf>
    <xf numFmtId="14" fontId="71" fillId="6" borderId="6" xfId="0" applyNumberFormat="1" applyFont="1" applyFill="1" applyBorder="1" applyAlignment="1">
      <alignment horizontal="left" vertical="center"/>
    </xf>
    <xf numFmtId="0" fontId="62" fillId="6" borderId="7" xfId="0" applyFont="1" applyFill="1" applyBorder="1" applyAlignment="1">
      <alignment vertical="center"/>
    </xf>
    <xf numFmtId="0" fontId="71" fillId="6" borderId="7" xfId="0" applyFont="1" applyFill="1" applyBorder="1" applyAlignment="1">
      <alignment vertical="center"/>
    </xf>
    <xf numFmtId="165" fontId="62" fillId="6" borderId="33" xfId="0" applyNumberFormat="1" applyFont="1" applyFill="1" applyBorder="1" applyAlignment="1">
      <alignment vertical="center"/>
    </xf>
    <xf numFmtId="0" fontId="62" fillId="6" borderId="33" xfId="0" applyFont="1" applyFill="1" applyBorder="1" applyAlignment="1">
      <alignment vertical="center"/>
    </xf>
    <xf numFmtId="0" fontId="42" fillId="0" borderId="34" xfId="0" applyFont="1" applyBorder="1" applyAlignment="1">
      <alignment vertical="center"/>
    </xf>
    <xf numFmtId="0" fontId="42" fillId="0" borderId="35" xfId="0" applyFont="1" applyBorder="1" applyAlignment="1">
      <alignment vertical="center"/>
    </xf>
    <xf numFmtId="3" fontId="62" fillId="0" borderId="36" xfId="0" applyNumberFormat="1" applyFont="1" applyBorder="1" applyAlignment="1">
      <alignment vertical="center"/>
    </xf>
    <xf numFmtId="0" fontId="62" fillId="0" borderId="0" xfId="0" applyFont="1" applyAlignment="1">
      <alignment vertical="center"/>
    </xf>
    <xf numFmtId="168" fontId="47" fillId="0" borderId="0" xfId="1" applyNumberFormat="1" applyFont="1" applyBorder="1"/>
    <xf numFmtId="3" fontId="62" fillId="0" borderId="0" xfId="0" applyNumberFormat="1" applyFont="1" applyAlignment="1">
      <alignment vertical="center"/>
    </xf>
    <xf numFmtId="0" fontId="73" fillId="0" borderId="0" xfId="0" applyFont="1" applyAlignment="1">
      <alignment vertical="center"/>
    </xf>
    <xf numFmtId="0" fontId="74" fillId="0" borderId="0" xfId="0" applyFont="1" applyAlignment="1">
      <alignment horizontal="center" vertical="center"/>
    </xf>
    <xf numFmtId="0" fontId="75" fillId="0" borderId="0" xfId="0" applyFont="1" applyAlignment="1">
      <alignment vertical="center"/>
    </xf>
    <xf numFmtId="0" fontId="42" fillId="0" borderId="0" xfId="0" applyFont="1"/>
    <xf numFmtId="0" fontId="61" fillId="0" borderId="0" xfId="0" applyFont="1"/>
    <xf numFmtId="166" fontId="42" fillId="0" borderId="0" xfId="0" applyNumberFormat="1" applyFont="1"/>
    <xf numFmtId="17" fontId="61" fillId="0" borderId="0" xfId="0" applyNumberFormat="1" applyFont="1" applyAlignment="1">
      <alignment horizontal="center"/>
    </xf>
    <xf numFmtId="0" fontId="77" fillId="0" borderId="39" xfId="0" applyFont="1" applyBorder="1" applyAlignment="1">
      <alignment vertical="center"/>
    </xf>
    <xf numFmtId="14" fontId="42" fillId="0" borderId="0" xfId="0" applyNumberFormat="1" applyFont="1"/>
    <xf numFmtId="0" fontId="62" fillId="0" borderId="39" xfId="0" applyFont="1" applyBorder="1" applyAlignment="1">
      <alignment vertical="center"/>
    </xf>
    <xf numFmtId="0" fontId="77" fillId="0" borderId="43" xfId="0" applyFont="1" applyBorder="1" applyAlignment="1">
      <alignment vertical="center"/>
    </xf>
    <xf numFmtId="166" fontId="61" fillId="0" borderId="0" xfId="0" applyNumberFormat="1" applyFont="1"/>
    <xf numFmtId="0" fontId="42" fillId="0" borderId="52" xfId="0" applyFont="1" applyBorder="1"/>
    <xf numFmtId="0" fontId="42" fillId="0" borderId="53" xfId="0" applyFont="1" applyBorder="1"/>
    <xf numFmtId="0" fontId="61" fillId="0" borderId="54" xfId="0" applyFont="1" applyBorder="1"/>
    <xf numFmtId="166" fontId="61" fillId="0" borderId="53" xfId="0" applyNumberFormat="1" applyFont="1" applyBorder="1"/>
    <xf numFmtId="166" fontId="61" fillId="0" borderId="30" xfId="0" applyNumberFormat="1" applyFont="1" applyBorder="1"/>
    <xf numFmtId="166" fontId="42" fillId="0" borderId="1" xfId="0" applyNumberFormat="1" applyFont="1" applyBorder="1"/>
    <xf numFmtId="166" fontId="42" fillId="0" borderId="30" xfId="0" applyNumberFormat="1" applyFont="1" applyBorder="1"/>
    <xf numFmtId="166" fontId="43" fillId="2" borderId="1" xfId="1" applyNumberFormat="1" applyFont="1" applyFill="1" applyBorder="1"/>
    <xf numFmtId="168" fontId="43" fillId="0" borderId="51" xfId="1" applyNumberFormat="1" applyFont="1" applyFill="1" applyBorder="1"/>
    <xf numFmtId="168" fontId="43" fillId="0" borderId="30" xfId="1" applyNumberFormat="1" applyFont="1" applyFill="1" applyBorder="1"/>
    <xf numFmtId="0" fontId="47" fillId="0" borderId="1" xfId="0" applyFont="1" applyBorder="1" applyAlignment="1">
      <alignment horizontal="left" vertical="center"/>
    </xf>
    <xf numFmtId="168" fontId="47" fillId="0" borderId="1" xfId="1" applyNumberFormat="1" applyFont="1" applyFill="1" applyBorder="1"/>
    <xf numFmtId="14" fontId="42" fillId="0" borderId="1" xfId="0" applyNumberFormat="1" applyFont="1" applyBorder="1"/>
    <xf numFmtId="0" fontId="42" fillId="0" borderId="1" xfId="0" applyFont="1" applyBorder="1" applyAlignment="1">
      <alignment horizontal="center"/>
    </xf>
    <xf numFmtId="14" fontId="42" fillId="0" borderId="31" xfId="0" applyNumberFormat="1" applyFont="1" applyBorder="1"/>
    <xf numFmtId="0" fontId="42" fillId="0" borderId="47" xfId="0" applyFont="1" applyBorder="1" applyAlignment="1">
      <alignment horizontal="center"/>
    </xf>
    <xf numFmtId="0" fontId="42" fillId="0" borderId="40" xfId="0" applyFont="1" applyBorder="1"/>
    <xf numFmtId="166" fontId="42" fillId="0" borderId="47" xfId="0" applyNumberFormat="1" applyFont="1" applyBorder="1"/>
    <xf numFmtId="14" fontId="42" fillId="0" borderId="19" xfId="0" applyNumberFormat="1" applyFont="1" applyBorder="1"/>
    <xf numFmtId="0" fontId="42" fillId="0" borderId="32" xfId="0" applyFont="1" applyBorder="1"/>
    <xf numFmtId="166" fontId="42" fillId="0" borderId="32" xfId="0" applyNumberFormat="1" applyFont="1" applyBorder="1"/>
    <xf numFmtId="14" fontId="61" fillId="0" borderId="6" xfId="0" applyNumberFormat="1" applyFont="1" applyBorder="1"/>
    <xf numFmtId="0" fontId="61" fillId="0" borderId="7" xfId="0" applyFont="1" applyBorder="1"/>
    <xf numFmtId="0" fontId="61" fillId="0" borderId="8" xfId="0" applyFont="1" applyBorder="1"/>
    <xf numFmtId="166" fontId="61" fillId="0" borderId="45" xfId="0" applyNumberFormat="1" applyFont="1" applyBorder="1"/>
    <xf numFmtId="169" fontId="61" fillId="0" borderId="1" xfId="0" applyNumberFormat="1" applyFont="1" applyBorder="1"/>
    <xf numFmtId="0" fontId="42" fillId="0" borderId="45" xfId="0" applyFont="1" applyBorder="1"/>
    <xf numFmtId="166" fontId="61" fillId="0" borderId="1" xfId="0" applyNumberFormat="1" applyFont="1" applyBorder="1" applyAlignment="1">
      <alignment horizontal="right" wrapText="1"/>
    </xf>
    <xf numFmtId="0" fontId="61" fillId="0" borderId="45" xfId="0" applyFont="1" applyBorder="1"/>
    <xf numFmtId="166" fontId="42" fillId="0" borderId="27" xfId="0" applyNumberFormat="1" applyFont="1" applyBorder="1"/>
    <xf numFmtId="0" fontId="80" fillId="0" borderId="0" xfId="0" applyFont="1"/>
    <xf numFmtId="171" fontId="72" fillId="5" borderId="1" xfId="3" applyNumberFormat="1" applyFont="1" applyFill="1" applyBorder="1" applyAlignment="1"/>
    <xf numFmtId="168" fontId="43" fillId="5" borderId="1" xfId="1" applyNumberFormat="1" applyFont="1" applyFill="1" applyBorder="1"/>
    <xf numFmtId="0" fontId="0" fillId="5" borderId="0" xfId="0" applyFill="1"/>
    <xf numFmtId="14" fontId="81" fillId="5" borderId="1" xfId="3" applyNumberFormat="1" applyFont="1" applyFill="1" applyBorder="1" applyAlignment="1">
      <alignment horizontal="right"/>
    </xf>
    <xf numFmtId="0" fontId="80" fillId="5" borderId="1" xfId="0" applyFont="1" applyFill="1" applyBorder="1"/>
    <xf numFmtId="172" fontId="47" fillId="5" borderId="1" xfId="0" applyNumberFormat="1" applyFont="1" applyFill="1" applyBorder="1"/>
    <xf numFmtId="0" fontId="55" fillId="5" borderId="1" xfId="0" applyFont="1" applyFill="1" applyBorder="1" applyAlignment="1">
      <alignment vertical="center"/>
    </xf>
    <xf numFmtId="0" fontId="80" fillId="5" borderId="1" xfId="0" applyFont="1" applyFill="1" applyBorder="1" applyAlignment="1">
      <alignment vertical="center"/>
    </xf>
    <xf numFmtId="0" fontId="56" fillId="5" borderId="1" xfId="0" applyFont="1" applyFill="1" applyBorder="1" applyAlignment="1">
      <alignment vertical="center"/>
    </xf>
    <xf numFmtId="3" fontId="80" fillId="5" borderId="1" xfId="0" applyNumberFormat="1" applyFont="1" applyFill="1" applyBorder="1"/>
    <xf numFmtId="172" fontId="43" fillId="5" borderId="1" xfId="0" applyNumberFormat="1" applyFont="1" applyFill="1" applyBorder="1"/>
    <xf numFmtId="172" fontId="47" fillId="5" borderId="1" xfId="0" applyNumberFormat="1" applyFont="1" applyFill="1" applyBorder="1" applyAlignment="1">
      <alignment vertical="top"/>
    </xf>
    <xf numFmtId="168" fontId="80" fillId="5" borderId="1" xfId="1" applyNumberFormat="1" applyFont="1" applyFill="1" applyBorder="1"/>
    <xf numFmtId="186" fontId="80" fillId="5" borderId="1" xfId="0" applyNumberFormat="1" applyFont="1" applyFill="1" applyBorder="1"/>
    <xf numFmtId="0" fontId="62" fillId="5" borderId="1" xfId="0" applyFont="1" applyFill="1" applyBorder="1"/>
    <xf numFmtId="167" fontId="80" fillId="5" borderId="1" xfId="0" applyNumberFormat="1" applyFont="1" applyFill="1" applyBorder="1"/>
    <xf numFmtId="0" fontId="64" fillId="5" borderId="0" xfId="0" applyFont="1" applyFill="1"/>
    <xf numFmtId="0" fontId="82" fillId="5" borderId="1" xfId="0" applyFont="1" applyFill="1" applyBorder="1"/>
    <xf numFmtId="168" fontId="1" fillId="5" borderId="1" xfId="1" applyNumberFormat="1" applyFont="1" applyFill="1" applyBorder="1"/>
    <xf numFmtId="0" fontId="40" fillId="0" borderId="1" xfId="0" applyFont="1" applyBorder="1"/>
    <xf numFmtId="168" fontId="41" fillId="5" borderId="0" xfId="1" applyNumberFormat="1" applyFont="1" applyFill="1" applyBorder="1"/>
    <xf numFmtId="168" fontId="1" fillId="0" borderId="1" xfId="1" applyNumberFormat="1" applyFont="1" applyFill="1" applyBorder="1"/>
    <xf numFmtId="15" fontId="57" fillId="0" borderId="1" xfId="0" applyNumberFormat="1" applyFont="1" applyBorder="1" applyAlignment="1">
      <alignment horizontal="right"/>
    </xf>
    <xf numFmtId="0" fontId="57" fillId="0" borderId="1" xfId="0" applyFont="1" applyBorder="1"/>
    <xf numFmtId="0" fontId="58" fillId="0" borderId="1" xfId="3" applyFont="1" applyBorder="1"/>
    <xf numFmtId="0" fontId="59" fillId="0" borderId="1" xfId="3" applyFont="1" applyBorder="1"/>
    <xf numFmtId="15" fontId="57" fillId="0" borderId="1" xfId="0" applyNumberFormat="1" applyFont="1" applyBorder="1"/>
    <xf numFmtId="14" fontId="55" fillId="0" borderId="1" xfId="0" applyNumberFormat="1" applyFont="1" applyBorder="1" applyAlignment="1">
      <alignment vertical="center"/>
    </xf>
    <xf numFmtId="14" fontId="56" fillId="0" borderId="1" xfId="0" applyNumberFormat="1" applyFont="1" applyBorder="1" applyAlignment="1">
      <alignment vertical="center"/>
    </xf>
    <xf numFmtId="0" fontId="56" fillId="0" borderId="1" xfId="0" applyFont="1" applyBorder="1" applyAlignment="1">
      <alignment vertical="center"/>
    </xf>
    <xf numFmtId="41" fontId="56" fillId="0" borderId="1" xfId="11" applyFont="1" applyBorder="1" applyAlignment="1">
      <alignment vertical="center"/>
    </xf>
    <xf numFmtId="178" fontId="59" fillId="0" borderId="1" xfId="3" applyNumberFormat="1" applyFont="1" applyBorder="1" applyAlignment="1">
      <alignment vertical="top" wrapText="1"/>
    </xf>
    <xf numFmtId="178" fontId="59" fillId="0" borderId="1" xfId="3" applyNumberFormat="1" applyFont="1" applyBorder="1" applyAlignment="1">
      <alignment vertical="top"/>
    </xf>
    <xf numFmtId="14" fontId="47" fillId="5" borderId="1" xfId="0" applyNumberFormat="1" applyFont="1" applyFill="1" applyBorder="1" applyAlignment="1">
      <alignment vertical="center"/>
    </xf>
    <xf numFmtId="14" fontId="42" fillId="5" borderId="1" xfId="0" applyNumberFormat="1" applyFont="1" applyFill="1" applyBorder="1"/>
    <xf numFmtId="15" fontId="83" fillId="0" borderId="1" xfId="0" applyNumberFormat="1" applyFont="1" applyBorder="1"/>
    <xf numFmtId="0" fontId="84" fillId="0" borderId="1" xfId="0" applyFont="1" applyBorder="1"/>
    <xf numFmtId="0" fontId="83" fillId="0" borderId="1" xfId="0" applyFont="1" applyBorder="1"/>
    <xf numFmtId="14" fontId="61" fillId="5" borderId="1" xfId="0" applyNumberFormat="1" applyFont="1" applyFill="1" applyBorder="1"/>
    <xf numFmtId="175" fontId="50" fillId="5" borderId="9" xfId="4" applyNumberFormat="1" applyFont="1" applyFill="1" applyBorder="1" applyAlignment="1">
      <alignment horizontal="center" vertical="center"/>
    </xf>
    <xf numFmtId="0" fontId="0" fillId="0" borderId="9" xfId="0" applyBorder="1"/>
    <xf numFmtId="168" fontId="0" fillId="0" borderId="9" xfId="1" applyNumberFormat="1" applyFont="1" applyFill="1" applyBorder="1"/>
    <xf numFmtId="168" fontId="41" fillId="0" borderId="9" xfId="1" applyNumberFormat="1" applyFont="1" applyFill="1" applyBorder="1"/>
    <xf numFmtId="168" fontId="0" fillId="0" borderId="3" xfId="1" applyNumberFormat="1" applyFont="1" applyFill="1" applyBorder="1"/>
    <xf numFmtId="168" fontId="41" fillId="0" borderId="3" xfId="1" applyNumberFormat="1" applyFont="1" applyFill="1" applyBorder="1"/>
    <xf numFmtId="0" fontId="0" fillId="5" borderId="3" xfId="0" applyFill="1" applyBorder="1"/>
    <xf numFmtId="0" fontId="0" fillId="5" borderId="9" xfId="0" applyFill="1" applyBorder="1"/>
    <xf numFmtId="14" fontId="27" fillId="5" borderId="1" xfId="0" applyNumberFormat="1" applyFont="1" applyFill="1" applyBorder="1"/>
    <xf numFmtId="0" fontId="49" fillId="0" borderId="1" xfId="0" applyFont="1" applyBorder="1"/>
    <xf numFmtId="0" fontId="49" fillId="20" borderId="1" xfId="0" applyFont="1" applyFill="1" applyBorder="1"/>
    <xf numFmtId="14" fontId="42" fillId="5" borderId="1" xfId="0" applyNumberFormat="1" applyFont="1" applyFill="1" applyBorder="1" applyAlignment="1">
      <alignment horizontal="right"/>
    </xf>
    <xf numFmtId="171" fontId="37" fillId="0" borderId="1" xfId="3" applyNumberFormat="1" applyFont="1" applyBorder="1"/>
    <xf numFmtId="171" fontId="37" fillId="5" borderId="1" xfId="3" applyNumberFormat="1" applyFont="1" applyFill="1" applyBorder="1"/>
    <xf numFmtId="172" fontId="39" fillId="0" borderId="9" xfId="0" applyNumberFormat="1" applyFont="1" applyBorder="1"/>
    <xf numFmtId="168" fontId="35" fillId="5" borderId="1" xfId="1" applyNumberFormat="1" applyFont="1" applyFill="1" applyBorder="1"/>
    <xf numFmtId="172" fontId="38" fillId="5" borderId="1" xfId="0" applyNumberFormat="1" applyFont="1" applyFill="1" applyBorder="1"/>
    <xf numFmtId="168" fontId="35" fillId="5" borderId="9" xfId="1" applyNumberFormat="1" applyFont="1" applyFill="1" applyBorder="1"/>
    <xf numFmtId="0" fontId="35" fillId="5" borderId="1" xfId="0" applyFont="1" applyFill="1" applyBorder="1" applyAlignment="1">
      <alignment horizontal="left"/>
    </xf>
    <xf numFmtId="0" fontId="38" fillId="0" borderId="9" xfId="0" applyFont="1" applyBorder="1" applyAlignment="1">
      <alignment horizontal="left"/>
    </xf>
    <xf numFmtId="171" fontId="37" fillId="19" borderId="1" xfId="3" applyNumberFormat="1" applyFont="1" applyFill="1" applyBorder="1"/>
    <xf numFmtId="171" fontId="37" fillId="5" borderId="1" xfId="3" applyNumberFormat="1" applyFont="1" applyFill="1" applyBorder="1" applyAlignment="1"/>
    <xf numFmtId="171" fontId="72" fillId="5" borderId="1" xfId="3" applyNumberFormat="1" applyFont="1" applyFill="1" applyBorder="1"/>
    <xf numFmtId="168" fontId="47" fillId="5" borderId="1" xfId="1" applyNumberFormat="1" applyFont="1" applyFill="1" applyBorder="1"/>
    <xf numFmtId="168" fontId="43" fillId="5" borderId="9" xfId="1" applyNumberFormat="1" applyFont="1" applyFill="1" applyBorder="1"/>
    <xf numFmtId="171" fontId="72" fillId="19" borderId="1" xfId="3" applyNumberFormat="1" applyFont="1" applyFill="1" applyBorder="1"/>
    <xf numFmtId="0" fontId="43" fillId="19" borderId="1" xfId="0" applyFont="1" applyFill="1" applyBorder="1" applyAlignment="1">
      <alignment horizontal="left"/>
    </xf>
    <xf numFmtId="168" fontId="47" fillId="19" borderId="1" xfId="1" applyNumberFormat="1" applyFont="1" applyFill="1" applyBorder="1"/>
    <xf numFmtId="168" fontId="43" fillId="19" borderId="1" xfId="1" applyNumberFormat="1" applyFont="1" applyFill="1" applyBorder="1"/>
    <xf numFmtId="0" fontId="43" fillId="0" borderId="9" xfId="0" applyFont="1" applyBorder="1" applyAlignment="1">
      <alignment horizontal="left"/>
    </xf>
    <xf numFmtId="14" fontId="58" fillId="5" borderId="1" xfId="0" applyNumberFormat="1" applyFont="1" applyFill="1" applyBorder="1" applyAlignment="1">
      <alignment horizontal="right" vertical="center"/>
    </xf>
    <xf numFmtId="14" fontId="47" fillId="5" borderId="1" xfId="0" applyNumberFormat="1" applyFont="1" applyFill="1" applyBorder="1" applyAlignment="1">
      <alignment horizontal="right"/>
    </xf>
    <xf numFmtId="14" fontId="47" fillId="5" borderId="1" xfId="0" applyNumberFormat="1" applyFont="1" applyFill="1" applyBorder="1"/>
    <xf numFmtId="14" fontId="50" fillId="5" borderId="1" xfId="0" applyNumberFormat="1" applyFont="1" applyFill="1" applyBorder="1"/>
    <xf numFmtId="14" fontId="44" fillId="2" borderId="3" xfId="0" applyNumberFormat="1" applyFont="1" applyFill="1" applyBorder="1" applyAlignment="1">
      <alignment horizontal="center" vertical="center" wrapText="1"/>
    </xf>
    <xf numFmtId="14" fontId="72" fillId="5" borderId="1" xfId="3" applyNumberFormat="1" applyFont="1" applyFill="1" applyBorder="1"/>
    <xf numFmtId="14" fontId="47" fillId="0" borderId="0" xfId="0" applyNumberFormat="1" applyFont="1"/>
    <xf numFmtId="0" fontId="47" fillId="5" borderId="3" xfId="0" applyFont="1" applyFill="1" applyBorder="1" applyAlignment="1">
      <alignment vertical="center"/>
    </xf>
    <xf numFmtId="0" fontId="47" fillId="5" borderId="9" xfId="0" applyFont="1" applyFill="1" applyBorder="1" applyAlignment="1">
      <alignment vertical="center"/>
    </xf>
    <xf numFmtId="0" fontId="0" fillId="5" borderId="0" xfId="0" applyFill="1" applyBorder="1"/>
    <xf numFmtId="0" fontId="40" fillId="5" borderId="0" xfId="0" applyFont="1" applyFill="1" applyBorder="1"/>
    <xf numFmtId="168" fontId="34" fillId="5" borderId="0" xfId="1" applyNumberFormat="1" applyFont="1" applyFill="1" applyBorder="1"/>
    <xf numFmtId="186" fontId="47" fillId="5" borderId="1" xfId="0" applyNumberFormat="1" applyFont="1" applyFill="1" applyBorder="1"/>
    <xf numFmtId="0" fontId="43" fillId="5" borderId="1" xfId="0" applyFont="1" applyFill="1" applyBorder="1" applyAlignment="1">
      <alignment vertical="center"/>
    </xf>
    <xf numFmtId="0" fontId="58" fillId="5" borderId="1" xfId="0" applyFont="1" applyFill="1" applyBorder="1"/>
    <xf numFmtId="0" fontId="43" fillId="5" borderId="3" xfId="0" applyFont="1" applyFill="1" applyBorder="1" applyAlignment="1">
      <alignment vertical="center"/>
    </xf>
    <xf numFmtId="0" fontId="47" fillId="5" borderId="9" xfId="0" applyFont="1" applyFill="1" applyBorder="1"/>
    <xf numFmtId="0" fontId="50" fillId="5" borderId="1" xfId="0" applyFont="1" applyFill="1" applyBorder="1"/>
    <xf numFmtId="172" fontId="43" fillId="5" borderId="3" xfId="0" applyNumberFormat="1" applyFont="1" applyFill="1" applyBorder="1"/>
    <xf numFmtId="0" fontId="47" fillId="5" borderId="3" xfId="0" applyFont="1" applyFill="1" applyBorder="1"/>
    <xf numFmtId="168" fontId="43" fillId="5" borderId="3" xfId="1" applyNumberFormat="1" applyFont="1" applyFill="1" applyBorder="1"/>
    <xf numFmtId="178" fontId="58" fillId="5" borderId="1" xfId="3" applyNumberFormat="1" applyFont="1" applyFill="1" applyBorder="1" applyAlignment="1">
      <alignment vertical="top" wrapText="1"/>
    </xf>
    <xf numFmtId="178" fontId="58" fillId="5" borderId="1" xfId="3" applyNumberFormat="1" applyFont="1" applyFill="1" applyBorder="1" applyAlignment="1">
      <alignment vertical="top"/>
    </xf>
    <xf numFmtId="41" fontId="43" fillId="5" borderId="1" xfId="11" applyFont="1" applyFill="1" applyBorder="1" applyAlignment="1">
      <alignment vertical="center"/>
    </xf>
    <xf numFmtId="41" fontId="47" fillId="5" borderId="1" xfId="11" applyFont="1" applyFill="1" applyBorder="1" applyAlignment="1">
      <alignment vertical="center"/>
    </xf>
    <xf numFmtId="0" fontId="58" fillId="5" borderId="3" xfId="0" applyFont="1" applyFill="1" applyBorder="1"/>
    <xf numFmtId="0" fontId="58" fillId="5" borderId="3" xfId="3" applyFont="1" applyFill="1" applyBorder="1"/>
    <xf numFmtId="178" fontId="58" fillId="5" borderId="9" xfId="3" applyNumberFormat="1" applyFont="1" applyFill="1" applyBorder="1" applyAlignment="1">
      <alignment vertical="top"/>
    </xf>
    <xf numFmtId="0" fontId="43" fillId="5" borderId="9" xfId="0" applyFont="1" applyFill="1" applyBorder="1" applyAlignment="1">
      <alignment vertical="center"/>
    </xf>
    <xf numFmtId="0" fontId="58" fillId="5" borderId="9" xfId="0" applyFont="1" applyFill="1" applyBorder="1"/>
    <xf numFmtId="168" fontId="47" fillId="5" borderId="9" xfId="1" applyNumberFormat="1" applyFont="1" applyFill="1" applyBorder="1"/>
    <xf numFmtId="14" fontId="58" fillId="5" borderId="1" xfId="0" applyNumberFormat="1" applyFont="1" applyFill="1" applyBorder="1" applyAlignment="1">
      <alignment horizontal="right"/>
    </xf>
    <xf numFmtId="14" fontId="58" fillId="5" borderId="1" xfId="0" applyNumberFormat="1" applyFont="1" applyFill="1" applyBorder="1"/>
    <xf numFmtId="14" fontId="43" fillId="5" borderId="1" xfId="0" applyNumberFormat="1" applyFont="1" applyFill="1" applyBorder="1" applyAlignment="1">
      <alignment vertical="center"/>
    </xf>
    <xf numFmtId="0" fontId="85" fillId="2" borderId="3" xfId="0" applyFont="1" applyFill="1" applyBorder="1" applyAlignment="1">
      <alignment horizontal="left" vertical="center" wrapText="1"/>
    </xf>
    <xf numFmtId="0" fontId="80" fillId="0" borderId="1" xfId="0" applyFont="1" applyBorder="1"/>
    <xf numFmtId="4" fontId="85" fillId="2" borderId="3" xfId="0" applyNumberFormat="1" applyFont="1" applyFill="1" applyBorder="1" applyAlignment="1">
      <alignment horizontal="right" vertical="center" wrapText="1"/>
    </xf>
    <xf numFmtId="167" fontId="85" fillId="2" borderId="3" xfId="0" applyNumberFormat="1" applyFont="1" applyFill="1" applyBorder="1" applyAlignment="1">
      <alignment horizontal="right" vertical="center" wrapText="1"/>
    </xf>
    <xf numFmtId="0" fontId="85" fillId="2" borderId="3" xfId="0" applyFont="1" applyFill="1" applyBorder="1" applyAlignment="1">
      <alignment horizontal="center" vertical="center" wrapText="1"/>
    </xf>
    <xf numFmtId="0" fontId="85" fillId="2" borderId="3" xfId="0" applyFont="1" applyFill="1" applyBorder="1" applyAlignment="1">
      <alignment horizontal="right" vertical="center" wrapText="1"/>
    </xf>
    <xf numFmtId="3" fontId="85" fillId="2" borderId="3" xfId="0" applyNumberFormat="1" applyFont="1" applyFill="1" applyBorder="1" applyAlignment="1">
      <alignment vertical="center" wrapText="1"/>
    </xf>
    <xf numFmtId="0" fontId="80" fillId="0" borderId="30" xfId="0" applyFont="1" applyBorder="1"/>
    <xf numFmtId="0" fontId="80" fillId="3" borderId="30" xfId="0" applyFont="1" applyFill="1" applyBorder="1"/>
    <xf numFmtId="0" fontId="80" fillId="3" borderId="0" xfId="0" applyFont="1" applyFill="1"/>
    <xf numFmtId="0" fontId="80" fillId="5" borderId="30" xfId="0" applyFont="1" applyFill="1" applyBorder="1"/>
    <xf numFmtId="0" fontId="80" fillId="5" borderId="0" xfId="0" applyFont="1" applyFill="1"/>
    <xf numFmtId="41" fontId="80" fillId="0" borderId="1" xfId="11" applyFont="1" applyBorder="1"/>
    <xf numFmtId="0" fontId="80" fillId="5" borderId="0" xfId="0" applyFont="1" applyFill="1" applyBorder="1"/>
    <xf numFmtId="168" fontId="47" fillId="5" borderId="0" xfId="1" applyNumberFormat="1" applyFont="1" applyFill="1" applyBorder="1"/>
    <xf numFmtId="3" fontId="80" fillId="0" borderId="0" xfId="0" applyNumberFormat="1" applyFont="1"/>
    <xf numFmtId="41" fontId="0" fillId="5" borderId="1" xfId="11" applyFont="1" applyFill="1" applyBorder="1"/>
    <xf numFmtId="166" fontId="25" fillId="8" borderId="13" xfId="0" applyNumberFormat="1" applyFont="1" applyFill="1" applyBorder="1" applyAlignment="1">
      <alignment horizontal="center"/>
    </xf>
    <xf numFmtId="174" fontId="47" fillId="5" borderId="2" xfId="3" applyNumberFormat="1" applyFont="1" applyFill="1" applyBorder="1" applyAlignment="1">
      <alignment horizontal="center" vertical="top" wrapText="1"/>
    </xf>
    <xf numFmtId="174" fontId="47" fillId="5" borderId="46" xfId="3" applyNumberFormat="1" applyFont="1" applyFill="1" applyBorder="1" applyAlignment="1">
      <alignment horizontal="center" vertical="top" wrapText="1"/>
    </xf>
    <xf numFmtId="174" fontId="47" fillId="5" borderId="30" xfId="3" applyNumberFormat="1" applyFont="1" applyFill="1" applyBorder="1" applyAlignment="1">
      <alignment horizontal="center" vertical="top" wrapText="1"/>
    </xf>
    <xf numFmtId="0" fontId="50" fillId="5" borderId="0" xfId="0" applyFont="1" applyFill="1" applyAlignment="1">
      <alignment horizontal="center"/>
    </xf>
    <xf numFmtId="0" fontId="71" fillId="11" borderId="24" xfId="0" applyFont="1" applyFill="1" applyBorder="1" applyAlignment="1">
      <alignment horizontal="center" vertical="center"/>
    </xf>
    <xf numFmtId="0" fontId="71" fillId="11" borderId="25" xfId="0" applyFont="1" applyFill="1" applyBorder="1" applyAlignment="1">
      <alignment horizontal="center" vertical="center"/>
    </xf>
    <xf numFmtId="0" fontId="71" fillId="11" borderId="26" xfId="0" applyFont="1" applyFill="1" applyBorder="1" applyAlignment="1">
      <alignment horizontal="center" vertical="center"/>
    </xf>
    <xf numFmtId="0" fontId="76" fillId="0" borderId="11" xfId="0" applyFont="1" applyBorder="1" applyAlignment="1">
      <alignment horizontal="center" vertical="center"/>
    </xf>
    <xf numFmtId="0" fontId="76" fillId="0" borderId="37" xfId="0" applyFont="1" applyBorder="1" applyAlignment="1">
      <alignment horizontal="center" vertical="center"/>
    </xf>
    <xf numFmtId="0" fontId="76" fillId="0" borderId="38" xfId="0" applyFont="1" applyBorder="1" applyAlignment="1">
      <alignment horizontal="center" vertical="center"/>
    </xf>
    <xf numFmtId="166" fontId="77" fillId="0" borderId="40" xfId="0" applyNumberFormat="1" applyFont="1" applyBorder="1" applyAlignment="1">
      <alignment horizontal="left" vertical="center"/>
    </xf>
    <xf numFmtId="166" fontId="77" fillId="0" borderId="41" xfId="0" applyNumberFormat="1" applyFont="1" applyBorder="1" applyAlignment="1">
      <alignment horizontal="left" vertical="center"/>
    </xf>
    <xf numFmtId="49" fontId="78" fillId="0" borderId="0" xfId="0" applyNumberFormat="1" applyFont="1" applyAlignment="1">
      <alignment horizontal="left" vertical="center"/>
    </xf>
    <xf numFmtId="49" fontId="78" fillId="0" borderId="42" xfId="0" applyNumberFormat="1" applyFont="1" applyBorder="1" applyAlignment="1">
      <alignment horizontal="left" vertical="center"/>
    </xf>
    <xf numFmtId="166" fontId="77" fillId="0" borderId="22" xfId="0" applyNumberFormat="1" applyFont="1" applyBorder="1" applyAlignment="1">
      <alignment horizontal="center" vertical="center" wrapText="1"/>
    </xf>
    <xf numFmtId="166" fontId="77" fillId="0" borderId="44" xfId="0" applyNumberFormat="1" applyFont="1" applyBorder="1" applyAlignment="1">
      <alignment horizontal="center" vertical="center" wrapText="1"/>
    </xf>
  </cellXfs>
  <cellStyles count="13">
    <cellStyle name="Comma 2" xfId="8"/>
    <cellStyle name="Excel Built-in Comma" xfId="4"/>
    <cellStyle name="Excel Built-in Normal" xfId="3"/>
    <cellStyle name="Milliers" xfId="1" builtinId="3"/>
    <cellStyle name="Milliers [0]" xfId="11" builtinId="6"/>
    <cellStyle name="Milliers 2" xfId="5"/>
    <cellStyle name="Milliers 3" xfId="9"/>
    <cellStyle name="Milliers 4" xfId="6"/>
    <cellStyle name="Milliers 4 2" xfId="10"/>
    <cellStyle name="Normal" xfId="0" builtinId="0"/>
    <cellStyle name="Normal 2" xfId="7"/>
    <cellStyle name="Normal_Total expenses by date" xfId="2"/>
    <cellStyle name="Normal_Total expenses by date 2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320040</xdr:colOff>
      <xdr:row>5</xdr:row>
      <xdr:rowOff>160020</xdr:rowOff>
    </xdr:from>
    <xdr:to>
      <xdr:col>28</xdr:col>
      <xdr:colOff>330373</xdr:colOff>
      <xdr:row>55</xdr:row>
      <xdr:rowOff>190500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9503C711-A348-489E-A908-90476CDCC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5560" y="1150620"/>
          <a:ext cx="7302673" cy="100584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6</xdr:row>
      <xdr:rowOff>0</xdr:rowOff>
    </xdr:from>
    <xdr:to>
      <xdr:col>17</xdr:col>
      <xdr:colOff>10333</xdr:colOff>
      <xdr:row>56</xdr:row>
      <xdr:rowOff>38100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4B40D082-8F79-4383-9825-BC3D9FDE1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3180" y="1196340"/>
          <a:ext cx="7302673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518160</xdr:colOff>
      <xdr:row>2</xdr:row>
      <xdr:rowOff>106680</xdr:rowOff>
    </xdr:from>
    <xdr:to>
      <xdr:col>17</xdr:col>
      <xdr:colOff>528493</xdr:colOff>
      <xdr:row>60</xdr:row>
      <xdr:rowOff>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47931A9-6737-4FC1-B417-44590EBE6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2120" y="457200"/>
          <a:ext cx="7302673" cy="100584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ana Hajduchová" id="{98584D5A-8469-40CB-92DE-DDEA7199F951}" userId="05fcd02066e7ea79" providerId="Windows Liv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5903.885167824075" createdVersion="7" refreshedVersion="7" minRefreshableVersion="3" recordCount="29">
  <cacheSource type="worksheet">
    <worksheetSource ref="A1:E30" sheet="phone credit "/>
  </cacheSource>
  <cacheFields count="5">
    <cacheField name="Date+A1:E38" numFmtId="14">
      <sharedItems containsSemiMixedTypes="0" containsNonDate="0" containsDate="1" containsString="0" minDate="2025-08-07T00:00:00" maxDate="2025-08-19T00:00:00"/>
    </cacheField>
    <cacheField name="phone credit bought" numFmtId="3">
      <sharedItems containsString="0" containsBlank="1" containsNumber="1" containsInteger="1" minValue="20000" maxValue="120000"/>
    </cacheField>
    <cacheField name="distributed" numFmtId="3">
      <sharedItems containsString="0" containsBlank="1" containsNumber="1" containsInteger="1" minValue="5000" maxValue="15000"/>
    </cacheField>
    <cacheField name="balance" numFmtId="3">
      <sharedItems containsSemiMixedTypes="0" containsString="0" containsNumber="1" containsInteger="1" minValue="0" maxValue="120000"/>
    </cacheField>
    <cacheField name="name" numFmtId="0">
      <sharedItems containsBlank="1" count="13">
        <m/>
        <s v="P29"/>
        <s v="T73"/>
        <s v="G12"/>
        <s v="IT87"/>
        <s v="Crepin"/>
        <s v="Evariste"/>
        <s v="Donald-Romeo"/>
        <s v="DOVI"/>
        <s v="Parfaite"/>
        <s v="Romain"/>
        <s v="Roderlin"/>
        <s v="Abraham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ser" refreshedDate="45909.633345023147" createdVersion="6" refreshedVersion="7" minRefreshableVersion="3" recordCount="1962">
  <cacheSource type="worksheet">
    <worksheetSource ref="A1:O1993" sheet="Global data Août  2025"/>
  </cacheSource>
  <cacheFields count="16">
    <cacheField name="Date" numFmtId="0">
      <sharedItems containsSemiMixedTypes="0" containsNonDate="0" containsDate="1" containsString="0" minDate="2025-01-02T00:00:00" maxDate="2025-09-01T00:00:00" count="211">
        <d v="2025-01-02T00:00:00"/>
        <d v="2025-01-03T00:00:00"/>
        <d v="2025-01-06T00:00:00"/>
        <d v="2025-01-07T00:00:00"/>
        <d v="2025-01-08T00:00:00"/>
        <d v="2025-01-09T00:00:00"/>
        <d v="2025-01-10T00:00:00"/>
        <d v="2025-01-13T00:00:00"/>
        <d v="2025-01-14T00:00:00"/>
        <d v="2025-01-15T00:00:00"/>
        <d v="2025-01-16T00:00:00"/>
        <d v="2025-01-17T00:00:00"/>
        <d v="2025-01-18T00:00:00"/>
        <d v="2025-01-19T00:00:00"/>
        <d v="2025-01-20T00:00:00"/>
        <d v="2025-01-21T00:00:00"/>
        <d v="2025-01-22T00:00:00"/>
        <d v="2025-01-23T00:00:00"/>
        <d v="2025-01-24T00:00:00"/>
        <d v="2025-01-25T00:00:00"/>
        <d v="2025-01-26T00:00:00"/>
        <d v="2025-01-27T00:00:00"/>
        <d v="2025-01-28T00:00:00"/>
        <d v="2025-01-29T00:00:00"/>
        <d v="2025-01-30T00:00:00"/>
        <d v="2025-01-31T00:00:00"/>
        <d v="2025-02-03T00:00:00"/>
        <d v="2025-02-04T00:00:00"/>
        <d v="2025-02-05T00:00:00"/>
        <d v="2025-02-06T00:00:00"/>
        <d v="2025-02-07T00:00:00"/>
        <d v="2025-02-08T00:00:00"/>
        <d v="2025-02-09T00:00:00"/>
        <d v="2025-02-10T00:00:00"/>
        <d v="2025-02-11T00:00:00"/>
        <d v="2025-02-12T00:00:00"/>
        <d v="2025-02-13T00:00:00"/>
        <d v="2025-02-14T00:00:00"/>
        <d v="2025-02-15T00:00:00"/>
        <d v="2025-02-17T00:00:00"/>
        <d v="2025-02-18T00:00:00"/>
        <d v="2025-02-19T00:00:00"/>
        <d v="2025-02-20T00:00:00"/>
        <d v="2025-02-21T00:00:00"/>
        <d v="2025-02-22T00:00:00"/>
        <d v="2025-02-23T00:00:00"/>
        <d v="2025-02-24T00:00:00"/>
        <d v="2025-02-25T00:00:00"/>
        <d v="2025-02-26T00:00:00"/>
        <d v="2025-02-27T00:00:00"/>
        <d v="2025-02-28T00:00:00"/>
        <d v="2025-03-01T00:00:00"/>
        <d v="2025-03-03T00:00:00"/>
        <d v="2025-03-04T00:00:00"/>
        <d v="2025-03-05T00:00:00"/>
        <d v="2025-03-06T00:00:00"/>
        <d v="2025-03-07T00:00:00"/>
        <d v="2025-03-08T00:00:00"/>
        <d v="2025-03-10T00:00:00"/>
        <d v="2025-03-11T00:00:00"/>
        <d v="2025-03-12T00:00:00"/>
        <d v="2025-03-13T00:00:00"/>
        <d v="2025-03-14T00:00:00"/>
        <d v="2025-03-15T00:00:00"/>
        <d v="2025-03-16T00:00:00"/>
        <d v="2025-03-17T00:00:00"/>
        <d v="2025-03-18T00:00:00"/>
        <d v="2025-03-19T00:00:00"/>
        <d v="2025-03-20T00:00:00"/>
        <d v="2025-03-21T00:00:00"/>
        <d v="2025-03-22T00:00:00"/>
        <d v="2025-03-23T00:00:00"/>
        <d v="2025-03-24T00:00:00"/>
        <d v="2025-03-25T00:00:00"/>
        <d v="2025-03-26T00:00:00"/>
        <d v="2025-03-27T00:00:00"/>
        <d v="2025-03-28T00:00:00"/>
        <d v="2025-03-29T00:00:00"/>
        <d v="2025-03-31T00:00:00"/>
        <d v="2025-04-01T00:00:00"/>
        <d v="2025-04-02T00:00:00"/>
        <d v="2025-04-03T00:00:00"/>
        <d v="2025-04-04T00:00:00"/>
        <d v="2025-04-05T00:00:00"/>
        <d v="2025-04-07T00:00:00"/>
        <d v="2025-04-08T00:00:00"/>
        <d v="2025-04-09T00:00:00"/>
        <d v="2025-04-10T00:00:00"/>
        <d v="2025-04-11T00:00:00"/>
        <d v="2025-04-12T00:00:00"/>
        <d v="2025-04-13T00:00:00"/>
        <d v="2025-04-14T00:00:00"/>
        <d v="2025-04-15T00:00:00"/>
        <d v="2025-04-16T00:00:00"/>
        <d v="2025-04-17T00:00:00"/>
        <d v="2025-04-18T00:00:00"/>
        <d v="2025-04-19T00:00:00"/>
        <d v="2025-04-22T00:00:00"/>
        <d v="2025-04-23T00:00:00"/>
        <d v="2025-04-24T00:00:00"/>
        <d v="2025-04-25T00:00:00"/>
        <d v="2025-04-26T00:00:00"/>
        <d v="2025-04-27T00:00:00"/>
        <d v="2025-04-28T00:00:00"/>
        <d v="2025-04-29T00:00:00"/>
        <d v="2025-04-30T00:00:00"/>
        <d v="2025-05-01T00:00:00"/>
        <d v="2025-05-03T00:00:00"/>
        <d v="2025-05-05T00:00:00"/>
        <d v="2025-05-06T00:00:00"/>
        <d v="2025-05-07T00:00:00"/>
        <d v="2025-05-08T00:00:00"/>
        <d v="2025-05-09T00:00:00"/>
        <d v="2025-05-10T00:00:00"/>
        <d v="2025-05-12T00:00:00"/>
        <d v="2025-05-14T00:00:00"/>
        <d v="2025-05-15T00:00:00"/>
        <d v="2025-05-16T00:00:00"/>
        <d v="2025-05-19T00:00:00"/>
        <d v="2025-05-20T00:00:00"/>
        <d v="2025-05-21T00:00:00"/>
        <d v="2025-05-22T00:00:00"/>
        <d v="2025-05-23T00:00:00"/>
        <d v="2025-05-24T00:00:00"/>
        <d v="2025-05-25T00:00:00"/>
        <d v="2025-05-26T00:00:00"/>
        <d v="2025-05-27T00:00:00"/>
        <d v="2025-05-28T00:00:00"/>
        <d v="2025-05-29T00:00:00"/>
        <d v="2025-05-30T00:00:00"/>
        <d v="2025-05-31T00:00:00"/>
        <d v="2025-06-01T00:00:00"/>
        <d v="2025-06-02T00:00:00"/>
        <d v="2025-06-03T00:00:00"/>
        <d v="2025-06-04T00:00:00"/>
        <d v="2025-06-05T00:00:00"/>
        <d v="2025-06-06T00:00:00"/>
        <d v="2025-06-07T00:00:00"/>
        <d v="2025-06-08T00:00:00"/>
        <d v="2025-06-09T00:00:00"/>
        <d v="2025-06-10T00:00:00"/>
        <d v="2025-06-11T00:00:00"/>
        <d v="2025-06-12T00:00:00"/>
        <d v="2025-06-13T00:00:00"/>
        <d v="2025-06-14T00:00:00"/>
        <d v="2025-06-15T00:00:00"/>
        <d v="2025-06-16T00:00:00"/>
        <d v="2025-06-17T00:00:00"/>
        <d v="2025-06-18T00:00:00"/>
        <d v="2025-06-19T00:00:00"/>
        <d v="2025-06-20T00:00:00"/>
        <d v="2025-06-22T00:00:00"/>
        <d v="2025-06-23T00:00:00"/>
        <d v="2025-06-24T00:00:00"/>
        <d v="2025-06-25T00:00:00"/>
        <d v="2025-06-26T00:00:00"/>
        <d v="2025-06-27T00:00:00"/>
        <d v="2025-06-28T00:00:00"/>
        <d v="2025-06-29T00:00:00"/>
        <d v="2025-06-30T00:00:00"/>
        <d v="2025-07-01T00:00:00"/>
        <d v="2025-07-02T00:00:00"/>
        <d v="2025-07-03T00:00:00"/>
        <d v="2025-07-04T00:00:00"/>
        <d v="2025-07-05T00:00:00"/>
        <d v="2025-07-06T00:00:00"/>
        <d v="2025-07-07T00:00:00"/>
        <d v="2025-07-08T00:00:00"/>
        <d v="2025-07-09T00:00:00"/>
        <d v="2025-07-10T00:00:00"/>
        <d v="2025-07-11T00:00:00"/>
        <d v="2025-07-14T00:00:00"/>
        <d v="2025-07-15T00:00:00"/>
        <d v="2025-07-16T00:00:00"/>
        <d v="2025-07-17T00:00:00"/>
        <d v="2025-07-18T00:00:00"/>
        <d v="2025-07-21T00:00:00"/>
        <d v="2025-07-22T00:00:00"/>
        <d v="2025-07-23T00:00:00"/>
        <d v="2025-07-24T00:00:00"/>
        <d v="2025-07-25T00:00:00"/>
        <d v="2025-07-28T00:00:00"/>
        <d v="2025-07-29T00:00:00"/>
        <d v="2025-07-30T00:00:00"/>
        <d v="2025-07-31T00:00:00"/>
        <d v="2025-08-01T00:00:00"/>
        <d v="2025-08-04T00:00:00"/>
        <d v="2025-08-05T00:00:00"/>
        <d v="2025-08-06T00:00:00"/>
        <d v="2025-08-07T00:00:00"/>
        <d v="2025-08-08T00:00:00"/>
        <d v="2025-08-11T00:00:00"/>
        <d v="2025-08-12T00:00:00"/>
        <d v="2025-08-13T00:00:00"/>
        <d v="2025-08-14T00:00:00"/>
        <d v="2025-08-15T00:00:00"/>
        <d v="2025-08-16T00:00:00"/>
        <d v="2025-08-18T00:00:00"/>
        <d v="2025-08-19T00:00:00"/>
        <d v="2025-08-20T00:00:00"/>
        <d v="2025-08-21T00:00:00"/>
        <d v="2025-08-22T00:00:00"/>
        <d v="2025-08-23T00:00:00"/>
        <d v="2025-08-24T00:00:00"/>
        <d v="2025-08-25T00:00:00"/>
        <d v="2025-08-26T00:00:00"/>
        <d v="2025-08-27T00:00:00"/>
        <d v="2025-08-28T00:00:00"/>
        <d v="2025-08-29T00:00:00"/>
        <d v="2025-08-30T00:00:00"/>
        <d v="2025-08-31T00:00:00"/>
      </sharedItems>
      <fieldGroup par="15" base="0">
        <rangePr groupBy="days" startDate="2025-01-02T00:00:00" endDate="2025-09-01T00:00:00"/>
        <groupItems count="368">
          <s v="&lt;02/01/2025"/>
          <s v="01-janv"/>
          <s v="02-janv"/>
          <s v="03-janv"/>
          <s v="04-janv"/>
          <s v="05-janv"/>
          <s v="06-janv"/>
          <s v="07-janv"/>
          <s v="08-janv"/>
          <s v="09-janv"/>
          <s v="10-janv"/>
          <s v="11-janv"/>
          <s v="12-janv"/>
          <s v="13-janv"/>
          <s v="14-janv"/>
          <s v="15-janv"/>
          <s v="16-janv"/>
          <s v="17-janv"/>
          <s v="18-janv"/>
          <s v="19-janv"/>
          <s v="20-janv"/>
          <s v="21-janv"/>
          <s v="22-janv"/>
          <s v="23-janv"/>
          <s v="24-janv"/>
          <s v="25-janv"/>
          <s v="26-janv"/>
          <s v="27-janv"/>
          <s v="28-janv"/>
          <s v="29-janv"/>
          <s v="30-janv"/>
          <s v="31-janv"/>
          <s v="01-févr"/>
          <s v="02-févr"/>
          <s v="03-févr"/>
          <s v="04-févr"/>
          <s v="05-févr"/>
          <s v="06-févr"/>
          <s v="07-févr"/>
          <s v="08-févr"/>
          <s v="09-févr"/>
          <s v="10-févr"/>
          <s v="11-févr"/>
          <s v="12-févr"/>
          <s v="13-févr"/>
          <s v="14-févr"/>
          <s v="15-févr"/>
          <s v="16-févr"/>
          <s v="17-févr"/>
          <s v="18-févr"/>
          <s v="19-févr"/>
          <s v="20-févr"/>
          <s v="21-févr"/>
          <s v="22-févr"/>
          <s v="23-févr"/>
          <s v="24-févr"/>
          <s v="25-févr"/>
          <s v="26-févr"/>
          <s v="27-févr"/>
          <s v="28-févr"/>
          <s v="29-févr"/>
          <s v="01-mars"/>
          <s v="02-mars"/>
          <s v="03-mars"/>
          <s v="04-mars"/>
          <s v="05-mars"/>
          <s v="06-mars"/>
          <s v="07-mars"/>
          <s v="08-mars"/>
          <s v="09-mars"/>
          <s v="10-mars"/>
          <s v="11-mars"/>
          <s v="12-mars"/>
          <s v="13-mars"/>
          <s v="14-mars"/>
          <s v="15-mars"/>
          <s v="16-mars"/>
          <s v="17-mars"/>
          <s v="18-mars"/>
          <s v="19-mars"/>
          <s v="20-mars"/>
          <s v="21-mars"/>
          <s v="22-mars"/>
          <s v="23-mars"/>
          <s v="24-mars"/>
          <s v="25-mars"/>
          <s v="26-mars"/>
          <s v="27-mars"/>
          <s v="28-mars"/>
          <s v="29-mars"/>
          <s v="30-mars"/>
          <s v="31-mars"/>
          <s v="01-avr"/>
          <s v="02-avr"/>
          <s v="03-avr"/>
          <s v="04-avr"/>
          <s v="05-avr"/>
          <s v="06-avr"/>
          <s v="07-avr"/>
          <s v="08-avr"/>
          <s v="09-avr"/>
          <s v="10-avr"/>
          <s v="11-avr"/>
          <s v="12-avr"/>
          <s v="13-avr"/>
          <s v="14-avr"/>
          <s v="15-avr"/>
          <s v="16-avr"/>
          <s v="17-avr"/>
          <s v="18-avr"/>
          <s v="19-avr"/>
          <s v="20-avr"/>
          <s v="21-avr"/>
          <s v="22-avr"/>
          <s v="23-avr"/>
          <s v="24-avr"/>
          <s v="25-avr"/>
          <s v="26-avr"/>
          <s v="27-avr"/>
          <s v="28-avr"/>
          <s v="29-avr"/>
          <s v="30-avr"/>
          <s v="01-mai"/>
          <s v="02-mai"/>
          <s v="03-mai"/>
          <s v="04-mai"/>
          <s v="05-mai"/>
          <s v="06-mai"/>
          <s v="07-mai"/>
          <s v="08-mai"/>
          <s v="09-mai"/>
          <s v="10-mai"/>
          <s v="11-mai"/>
          <s v="12-mai"/>
          <s v="13-mai"/>
          <s v="14-mai"/>
          <s v="15-mai"/>
          <s v="16-mai"/>
          <s v="17-mai"/>
          <s v="18-mai"/>
          <s v="19-mai"/>
          <s v="20-mai"/>
          <s v="21-mai"/>
          <s v="22-mai"/>
          <s v="23-mai"/>
          <s v="24-mai"/>
          <s v="25-mai"/>
          <s v="26-mai"/>
          <s v="27-mai"/>
          <s v="28-mai"/>
          <s v="29-mai"/>
          <s v="30-mai"/>
          <s v="31-mai"/>
          <s v="01-juin"/>
          <s v="02-juin"/>
          <s v="03-juin"/>
          <s v="04-juin"/>
          <s v="05-juin"/>
          <s v="06-juin"/>
          <s v="07-juin"/>
          <s v="08-juin"/>
          <s v="09-juin"/>
          <s v="10-juin"/>
          <s v="11-juin"/>
          <s v="12-juin"/>
          <s v="13-juin"/>
          <s v="14-juin"/>
          <s v="15-juin"/>
          <s v="16-juin"/>
          <s v="17-juin"/>
          <s v="18-juin"/>
          <s v="19-juin"/>
          <s v="20-juin"/>
          <s v="21-juin"/>
          <s v="22-juin"/>
          <s v="23-juin"/>
          <s v="24-juin"/>
          <s v="25-juin"/>
          <s v="26-juin"/>
          <s v="27-juin"/>
          <s v="28-juin"/>
          <s v="29-juin"/>
          <s v="30-juin"/>
          <s v="01-juil"/>
          <s v="02-juil"/>
          <s v="03-juil"/>
          <s v="04-juil"/>
          <s v="05-juil"/>
          <s v="06-juil"/>
          <s v="07-juil"/>
          <s v="08-juil"/>
          <s v="09-juil"/>
          <s v="10-juil"/>
          <s v="11-juil"/>
          <s v="12-juil"/>
          <s v="13-juil"/>
          <s v="14-juil"/>
          <s v="15-juil"/>
          <s v="16-juil"/>
          <s v="17-juil"/>
          <s v="18-juil"/>
          <s v="19-juil"/>
          <s v="20-juil"/>
          <s v="21-juil"/>
          <s v="22-juil"/>
          <s v="23-juil"/>
          <s v="24-juil"/>
          <s v="25-juil"/>
          <s v="26-juil"/>
          <s v="27-juil"/>
          <s v="28-juil"/>
          <s v="29-juil"/>
          <s v="30-juil"/>
          <s v="31-juil"/>
          <s v="01-août"/>
          <s v="02-août"/>
          <s v="03-août"/>
          <s v="04-août"/>
          <s v="05-août"/>
          <s v="06-août"/>
          <s v="07-août"/>
          <s v="08-août"/>
          <s v="09-août"/>
          <s v="10-août"/>
          <s v="11-août"/>
          <s v="12-août"/>
          <s v="13-août"/>
          <s v="14-août"/>
          <s v="15-août"/>
          <s v="16-août"/>
          <s v="17-août"/>
          <s v="18-août"/>
          <s v="19-août"/>
          <s v="20-août"/>
          <s v="21-août"/>
          <s v="22-août"/>
          <s v="23-août"/>
          <s v="24-août"/>
          <s v="25-août"/>
          <s v="26-août"/>
          <s v="27-août"/>
          <s v="28-août"/>
          <s v="29-août"/>
          <s v="30-août"/>
          <s v="31-août"/>
          <s v="01-sept"/>
          <s v="02-sept"/>
          <s v="03-sept"/>
          <s v="04-sept"/>
          <s v="05-sept"/>
          <s v="06-sept"/>
          <s v="07-sept"/>
          <s v="08-sept"/>
          <s v="09-sept"/>
          <s v="10-sept"/>
          <s v="11-sept"/>
          <s v="12-sept"/>
          <s v="13-sept"/>
          <s v="14-sept"/>
          <s v="15-sept"/>
          <s v="16-sept"/>
          <s v="17-sept"/>
          <s v="18-sept"/>
          <s v="19-sept"/>
          <s v="20-sept"/>
          <s v="21-sept"/>
          <s v="22-sept"/>
          <s v="23-sept"/>
          <s v="24-sept"/>
          <s v="25-sept"/>
          <s v="26-sept"/>
          <s v="27-sept"/>
          <s v="28-sept"/>
          <s v="29-sept"/>
          <s v="30-sept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éc"/>
          <s v="02-déc"/>
          <s v="03-déc"/>
          <s v="04-déc"/>
          <s v="05-déc"/>
          <s v="06-déc"/>
          <s v="07-déc"/>
          <s v="08-déc"/>
          <s v="09-déc"/>
          <s v="10-déc"/>
          <s v="11-déc"/>
          <s v="12-déc"/>
          <s v="13-déc"/>
          <s v="14-déc"/>
          <s v="15-déc"/>
          <s v="16-déc"/>
          <s v="17-déc"/>
          <s v="18-déc"/>
          <s v="19-déc"/>
          <s v="20-déc"/>
          <s v="21-déc"/>
          <s v="22-déc"/>
          <s v="23-déc"/>
          <s v="24-déc"/>
          <s v="25-déc"/>
          <s v="26-déc"/>
          <s v="27-déc"/>
          <s v="28-déc"/>
          <s v="29-déc"/>
          <s v="30-déc"/>
          <s v="31-déc"/>
          <s v="&gt;01/09/2025"/>
        </groupItems>
      </fieldGroup>
    </cacheField>
    <cacheField name="Details" numFmtId="0">
      <sharedItems/>
    </cacheField>
    <cacheField name="Type of expenses" numFmtId="0">
      <sharedItems containsBlank="1"/>
    </cacheField>
    <cacheField name="Department " numFmtId="0">
      <sharedItems containsBlank="1"/>
    </cacheField>
    <cacheField name="Spent  in XAF" numFmtId="0">
      <sharedItems containsString="0" containsBlank="1" containsNumber="1" minValue="-60000" maxValue="2107400"/>
    </cacheField>
    <cacheField name="Spent in $" numFmtId="0">
      <sharedItems containsString="0" containsBlank="1" containsNumber="1" minValue="-106.96283868534969" maxValue="3635.6672865852611"/>
    </cacheField>
    <cacheField name="Exchange Rate $" numFmtId="0">
      <sharedItems containsSemiMixedTypes="0" containsString="0" containsNumber="1" minValue="532.90192592592598" maxValue="613.82180000000005"/>
    </cacheField>
    <cacheField name="Name" numFmtId="0">
      <sharedItems/>
    </cacheField>
    <cacheField name="Receipt" numFmtId="0">
      <sharedItems/>
    </cacheField>
    <cacheField name="Project" numFmtId="0">
      <sharedItems/>
    </cacheField>
    <cacheField name="Donor" numFmtId="0">
      <sharedItems count="8">
        <s v="Wildcat 2024"/>
        <s v="OAK"/>
        <s v="Rufford"/>
        <s v="OAT"/>
        <s v="UE"/>
        <s v="Wildcat 2025"/>
        <s v="ELONGA"/>
        <s v="Dahan"/>
      </sharedItems>
    </cacheField>
    <cacheField name="Country" numFmtId="0">
      <sharedItems/>
    </cacheField>
    <cacheField name="Receved in XAF" numFmtId="0">
      <sharedItems containsString="0" containsBlank="1" containsNumber="1" containsInteger="1" minValue="2664510" maxValue="17885797"/>
    </cacheField>
    <cacheField name="Receved  $" numFmtId="0">
      <sharedItems containsString="0" containsBlank="1" containsNumber="1" containsInteger="1" minValue="5000" maxValue="30000"/>
    </cacheField>
    <cacheField name="Comments" numFmtId="0">
      <sharedItems containsNonDate="0" containsString="0" containsBlank="1"/>
    </cacheField>
    <cacheField name="Mois" numFmtId="0" databaseField="0">
      <fieldGroup base="0">
        <rangePr groupBy="months" startDate="2025-01-02T00:00:00" endDate="2025-09-01T00:00:00"/>
        <groupItems count="14">
          <s v="&lt;02/01/2025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1/09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User" refreshedDate="45919.441104861115" createdVersion="7" refreshedVersion="7" minRefreshableVersion="3" recordCount="620">
  <cacheSource type="worksheet">
    <worksheetSource ref="A1:O621" sheet="DATA Août 2025"/>
  </cacheSource>
  <cacheFields count="15">
    <cacheField name="Date" numFmtId="14">
      <sharedItems containsSemiMixedTypes="0" containsNonDate="0" containsDate="1" containsString="0" minDate="2025-08-01T00:00:00" maxDate="2025-09-01T00:00:00"/>
    </cacheField>
    <cacheField name="Details" numFmtId="0">
      <sharedItems/>
    </cacheField>
    <cacheField name="Type of expenses" numFmtId="0">
      <sharedItems count="20">
        <s v="Transport"/>
        <s v="Rent &amp; Utilities"/>
        <s v="Personnel"/>
        <s v="Telephone"/>
        <s v="Services"/>
        <s v="Trust building"/>
        <s v="Grant"/>
        <s v="Travel subsistence"/>
        <s v="Office Materiels"/>
        <s v="Transport "/>
        <s v="Lawyer Fees"/>
        <s v="Transfert fees"/>
        <s v="Jail visit"/>
        <s v="Court Fees"/>
        <s v="Equipment"/>
        <s v="Bank fees"/>
        <s v="Bonus to media officer"/>
        <s v="Internet"/>
        <s v="Office materials"/>
        <s v="Jail visits" u="1"/>
      </sharedItems>
    </cacheField>
    <cacheField name="Department " numFmtId="0">
      <sharedItems containsBlank="1" count="8">
        <s v="Management"/>
        <s v="Office"/>
        <s v="Investigation"/>
        <s v="Media"/>
        <m/>
        <s v="Legal"/>
        <s v="Operation"/>
        <s v="Office "/>
      </sharedItems>
    </cacheField>
    <cacheField name="Spent  in XAF" numFmtId="0">
      <sharedItems containsString="0" containsBlank="1" containsNumber="1" containsInteger="1" minValue="300" maxValue="1311000"/>
    </cacheField>
    <cacheField name="Spent in $" numFmtId="1">
      <sharedItems containsString="0" containsBlank="1" containsNumber="1" minValue="0" maxValue="2337.1400251719429"/>
    </cacheField>
    <cacheField name="Exchange Rate $" numFmtId="0">
      <sharedItems containsSemiMixedTypes="0" containsString="0" containsNumber="1" minValue="532.90192592592598" maxValue="560.94200000000001"/>
    </cacheField>
    <cacheField name="Name" numFmtId="0">
      <sharedItems count="13">
        <s v="DOVI"/>
        <s v="Parfaite"/>
        <s v="BCI"/>
        <s v="P29"/>
        <s v="T73"/>
        <s v="IT87"/>
        <s v="G12"/>
        <s v="Evariste"/>
        <s v="Crépin"/>
        <s v="Donald-Romeo"/>
        <s v="Romain"/>
        <s v="Abraham"/>
        <s v="Roderlin"/>
      </sharedItems>
    </cacheField>
    <cacheField name="Receipt" numFmtId="0">
      <sharedItems/>
    </cacheField>
    <cacheField name="Project" numFmtId="0">
      <sharedItems/>
    </cacheField>
    <cacheField name="Donor" numFmtId="0">
      <sharedItems/>
    </cacheField>
    <cacheField name="Country" numFmtId="0">
      <sharedItems/>
    </cacheField>
    <cacheField name="Received in XAF" numFmtId="0">
      <sharedItems containsString="0" containsBlank="1" containsNumber="1" containsInteger="1" minValue="2664510" maxValue="14388352"/>
    </cacheField>
    <cacheField name="Received in $" numFmtId="0">
      <sharedItems containsString="0" containsBlank="1" containsNumber="1" containsInteger="1" minValue="5000" maxValue="27000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User" refreshedDate="45919.441252662036" createdVersion="7" refreshedVersion="7" minRefreshableVersion="3" recordCount="75">
  <cacheSource type="worksheet">
    <worksheetSource ref="A1:J76" sheet="Cash journal "/>
  </cacheSource>
  <cacheFields count="10">
    <cacheField name="Date" numFmtId="14">
      <sharedItems containsSemiMixedTypes="0" containsNonDate="0" containsDate="1" containsString="0" minDate="2025-08-01T00:00:00" maxDate="2025-08-30T00:00:00"/>
    </cacheField>
    <cacheField name="Details" numFmtId="0">
      <sharedItems/>
    </cacheField>
    <cacheField name="Type of expenses" numFmtId="0">
      <sharedItems containsBlank="1"/>
    </cacheField>
    <cacheField name="Department " numFmtId="0">
      <sharedItems containsBlank="1"/>
    </cacheField>
    <cacheField name="Spent " numFmtId="168">
      <sharedItems containsString="0" containsBlank="1" containsNumber="1" containsInteger="1" minValue="3180" maxValue="720000"/>
    </cacheField>
    <cacheField name="Received" numFmtId="0">
      <sharedItems containsString="0" containsBlank="1" containsNumber="1" containsInteger="1" minValue="20000" maxValue="2000000"/>
    </cacheField>
    <cacheField name="Balance" numFmtId="168">
      <sharedItems containsSemiMixedTypes="0" containsString="0" containsNumber="1" containsInteger="1" minValue="17370" maxValue="2966700"/>
    </cacheField>
    <cacheField name="Name" numFmtId="0">
      <sharedItems containsBlank="1" count="15">
        <m/>
        <s v="Phone credit"/>
        <s v="Parfaite"/>
        <s v="G12"/>
        <s v="P29"/>
        <s v="IT87"/>
        <s v="T73"/>
        <s v="BCI"/>
        <s v="DOVI"/>
        <s v="Crépin"/>
        <s v="Donald-Roméo"/>
        <s v="Evariste"/>
        <s v="Romain"/>
        <s v="Abraham"/>
        <s v="Roderlin"/>
      </sharedItems>
    </cacheField>
    <cacheField name="Receipt" numFmtId="0">
      <sharedItems containsBlank="1"/>
    </cacheField>
    <cacheField name="comment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">
  <r>
    <d v="2025-08-07T00:00:00"/>
    <n v="20000"/>
    <m/>
    <n v="20000"/>
    <x v="0"/>
  </r>
  <r>
    <d v="2025-08-07T00:00:00"/>
    <m/>
    <n v="5000"/>
    <n v="15000"/>
    <x v="1"/>
  </r>
  <r>
    <d v="2025-08-07T00:00:00"/>
    <m/>
    <n v="5000"/>
    <n v="10000"/>
    <x v="2"/>
  </r>
  <r>
    <d v="2025-08-07T00:00:00"/>
    <m/>
    <n v="5000"/>
    <n v="5000"/>
    <x v="3"/>
  </r>
  <r>
    <d v="2025-08-07T00:00:00"/>
    <m/>
    <n v="5000"/>
    <n v="0"/>
    <x v="4"/>
  </r>
  <r>
    <d v="2025-08-15T00:00:00"/>
    <n v="25000"/>
    <m/>
    <n v="25000"/>
    <x v="0"/>
  </r>
  <r>
    <d v="2025-08-15T00:00:00"/>
    <m/>
    <n v="5000"/>
    <n v="20000"/>
    <x v="5"/>
  </r>
  <r>
    <d v="2025-08-15T00:00:00"/>
    <m/>
    <n v="5000"/>
    <n v="15000"/>
    <x v="6"/>
  </r>
  <r>
    <d v="2025-08-15T00:00:00"/>
    <m/>
    <n v="5000"/>
    <n v="10000"/>
    <x v="7"/>
  </r>
  <r>
    <d v="2025-08-15T00:00:00"/>
    <m/>
    <n v="5000"/>
    <n v="5000"/>
    <x v="2"/>
  </r>
  <r>
    <d v="2025-08-15T00:00:00"/>
    <m/>
    <n v="5000"/>
    <n v="0"/>
    <x v="1"/>
  </r>
  <r>
    <d v="2025-08-18T00:00:00"/>
    <n v="120000"/>
    <m/>
    <n v="120000"/>
    <x v="0"/>
  </r>
  <r>
    <d v="2025-08-18T00:00:00"/>
    <m/>
    <n v="15000"/>
    <n v="105000"/>
    <x v="8"/>
  </r>
  <r>
    <d v="2025-08-18T00:00:00"/>
    <m/>
    <n v="10000"/>
    <n v="95000"/>
    <x v="9"/>
  </r>
  <r>
    <d v="2025-08-18T00:00:00"/>
    <m/>
    <n v="5000"/>
    <n v="90000"/>
    <x v="5"/>
  </r>
  <r>
    <d v="2025-08-18T00:00:00"/>
    <m/>
    <n v="10000"/>
    <n v="80000"/>
    <x v="7"/>
  </r>
  <r>
    <d v="2025-08-18T00:00:00"/>
    <m/>
    <n v="10000"/>
    <n v="70000"/>
    <x v="10"/>
  </r>
  <r>
    <d v="2025-08-18T00:00:00"/>
    <m/>
    <n v="10000"/>
    <n v="60000"/>
    <x v="11"/>
  </r>
  <r>
    <d v="2025-08-18T00:00:00"/>
    <m/>
    <n v="5000"/>
    <n v="55000"/>
    <x v="12"/>
  </r>
  <r>
    <d v="2025-08-18T00:00:00"/>
    <m/>
    <n v="15000"/>
    <n v="40000"/>
    <x v="2"/>
  </r>
  <r>
    <d v="2025-08-18T00:00:00"/>
    <m/>
    <n v="5000"/>
    <n v="35000"/>
    <x v="3"/>
  </r>
  <r>
    <d v="2025-08-18T00:00:00"/>
    <m/>
    <n v="10000"/>
    <n v="25000"/>
    <x v="1"/>
  </r>
  <r>
    <d v="2025-08-18T00:00:00"/>
    <m/>
    <n v="15000"/>
    <n v="10000"/>
    <x v="4"/>
  </r>
  <r>
    <d v="2025-08-18T00:00:00"/>
    <m/>
    <n v="10000"/>
    <n v="0"/>
    <x v="6"/>
  </r>
  <r>
    <d v="2025-08-18T00:00:00"/>
    <n v="25000"/>
    <m/>
    <n v="25000"/>
    <x v="0"/>
  </r>
  <r>
    <d v="2025-08-18T00:00:00"/>
    <m/>
    <n v="5000"/>
    <n v="20000"/>
    <x v="5"/>
  </r>
  <r>
    <d v="2025-08-18T00:00:00"/>
    <m/>
    <n v="5000"/>
    <n v="15000"/>
    <x v="12"/>
  </r>
  <r>
    <d v="2025-08-18T00:00:00"/>
    <m/>
    <n v="5000"/>
    <n v="10000"/>
    <x v="1"/>
  </r>
  <r>
    <d v="2025-08-18T00:00:00"/>
    <m/>
    <n v="10000"/>
    <n v="0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2">
  <r>
    <x v="0"/>
    <s v="Achat credit MTN/Benin pour internet  et communication"/>
    <s v="Telephone"/>
    <s v="Management"/>
    <n v="20000"/>
    <n v="35.074489446962986"/>
    <n v="570.21500000000003"/>
    <s v="DOVI"/>
    <s v="DH-J-R1"/>
    <s v="PALF"/>
    <x v="0"/>
    <s v="Congo"/>
    <m/>
    <m/>
    <m/>
  </r>
  <r>
    <x v="0"/>
    <s v="Achat credit  teléphonique MTN/PALF/Première partie du mois de Janvier 2025/Office"/>
    <s v="Telephone"/>
    <s v="Office"/>
    <n v="21000"/>
    <n v="36.828213919311132"/>
    <n v="570.21500000000003"/>
    <s v="Merveille"/>
    <s v="CA-J-R1"/>
    <s v="PALF"/>
    <x v="0"/>
    <s v="Congo"/>
    <m/>
    <m/>
    <m/>
  </r>
  <r>
    <x v="0"/>
    <s v="Achat credit  teléphonique MTN/PALF/Première partie du mois de Janvier 2025/Legal"/>
    <s v="Telephone"/>
    <s v="Legal"/>
    <n v="95000"/>
    <n v="166.60382487307419"/>
    <n v="570.21500000000003"/>
    <s v="Merveille"/>
    <s v="CA-J-R2"/>
    <s v="PALF"/>
    <x v="0"/>
    <s v="Congo"/>
    <m/>
    <m/>
    <m/>
  </r>
  <r>
    <x v="0"/>
    <s v="Achat credit  teléphonique MTN/PALF/Première partie du mois de Janvier 2025/Investigation"/>
    <s v="Telephone"/>
    <s v="Investigations"/>
    <n v="88000"/>
    <n v="154.32775356663714"/>
    <n v="570.21500000000003"/>
    <s v="Merveille"/>
    <s v="CA-J-R3"/>
    <s v="PALF"/>
    <x v="0"/>
    <s v="Congo"/>
    <m/>
    <m/>
    <m/>
  </r>
  <r>
    <x v="0"/>
    <s v="Achat credit  teléphonique MTN/PALF/Première partie du mois de Janvier 2025/Media"/>
    <s v="Telephone"/>
    <s v="Media"/>
    <n v="10000"/>
    <n v="17.537244723481493"/>
    <n v="570.21500000000003"/>
    <s v="Merveille"/>
    <s v="CA-J-R4"/>
    <s v="PALF"/>
    <x v="0"/>
    <s v="Congo"/>
    <m/>
    <m/>
    <m/>
  </r>
  <r>
    <x v="0"/>
    <s v="Achat credit  teléphonique Airtel/PALF/Première partie du mois de Janvier 2025/Legal"/>
    <s v="Telephone"/>
    <s v="Legal"/>
    <n v="10000"/>
    <n v="17.537244723481493"/>
    <n v="570.21500000000003"/>
    <s v="Merveille"/>
    <s v="CA-J-R5"/>
    <s v="PALF"/>
    <x v="0"/>
    <s v="Congo"/>
    <m/>
    <m/>
    <m/>
  </r>
  <r>
    <x v="0"/>
    <s v="Achat credit  teléphonique Airtel/PALF/Première partie du mois de Janvier 2025/Investigation"/>
    <s v="Telephone"/>
    <s v="Investigations"/>
    <n v="16000"/>
    <n v="28.059591557570389"/>
    <n v="570.21500000000003"/>
    <s v="Merveille"/>
    <s v="CA-J-R6"/>
    <s v="PALF"/>
    <x v="0"/>
    <s v="Congo"/>
    <m/>
    <m/>
    <m/>
  </r>
  <r>
    <x v="0"/>
    <s v="Achat credit  teléphonique Airtel/PALF/Première partie du mois de Janvier 2025/Media"/>
    <s v="Telephone"/>
    <s v="Media"/>
    <n v="11000"/>
    <n v="19.290969195829643"/>
    <n v="570.21500000000003"/>
    <s v="Merveille"/>
    <s v="CA-J-R7"/>
    <s v="PALF"/>
    <x v="0"/>
    <s v="Congo"/>
    <m/>
    <m/>
    <m/>
  </r>
  <r>
    <x v="1"/>
    <s v="Achat eau mineral 10 bidons de 16,5Litres pour le bureau PALF"/>
    <s v="Office Materials"/>
    <s v="Office"/>
    <n v="25000"/>
    <n v="43.843111808703732"/>
    <n v="570.21500000000003"/>
    <s v="Merveille"/>
    <s v="CA-J-R8"/>
    <s v="PALF"/>
    <x v="0"/>
    <s v="Congo"/>
    <m/>
    <m/>
    <m/>
  </r>
  <r>
    <x v="2"/>
    <s v="Solde honoraire contrat n°79 Dolisie cas BOUTSANA et Consorts/ Maître BANZOUZI Alain"/>
    <s v="Lawyer Fees"/>
    <s v="Legal"/>
    <n v="300000"/>
    <n v="526.11734170444481"/>
    <n v="570.21500000000003"/>
    <s v="BCI"/>
    <s v="BQ-J-R1"/>
    <s v="PALF"/>
    <x v="0"/>
    <s v="Congo"/>
    <m/>
    <m/>
    <m/>
  </r>
  <r>
    <x v="2"/>
    <s v="Solde honoraire contrat n°67 Sibiti et Consorts/ Maître Helene"/>
    <s v="Lawyer Fees"/>
    <s v="Legal"/>
    <n v="300000"/>
    <n v="526.11734170444481"/>
    <n v="570.21500000000003"/>
    <s v="BCI"/>
    <s v="BQ-J-R2"/>
    <s v="PALF"/>
    <x v="0"/>
    <s v="Congo"/>
    <m/>
    <m/>
    <m/>
  </r>
  <r>
    <x v="2"/>
    <s v="Reglement loyer du mois de Décembre 2024/3654776"/>
    <s v="Rent &amp; Utilities"/>
    <s v="Office"/>
    <n v="500000"/>
    <n v="838.65459674971032"/>
    <n v="596.19299999999998"/>
    <s v="BCI"/>
    <s v="BQ-J-R3"/>
    <s v="PALF"/>
    <x v="0"/>
    <s v="Congo"/>
    <m/>
    <m/>
    <m/>
  </r>
  <r>
    <x v="2"/>
    <s v="Reglement Facture Gardiennage Mois de Décembre 2024/3654775"/>
    <s v="Services"/>
    <s v="Office"/>
    <n v="260000"/>
    <n v="436.10039030984933"/>
    <n v="596.19299999999998"/>
    <s v="BCI"/>
    <s v="BQ-J-R13"/>
    <s v="PALF"/>
    <x v="0"/>
    <s v="Congo"/>
    <m/>
    <m/>
    <m/>
  </r>
  <r>
    <x v="2"/>
    <s v="Paiement Honoraire Me LOCKO/Mois de Décembre 2024/3654777"/>
    <s v="Lawyer Fees"/>
    <s v="Legal"/>
    <n v="150000"/>
    <n v="251.59637902491309"/>
    <n v="596.19299999999998"/>
    <s v="BCI"/>
    <s v="BQ-J-R14"/>
    <s v="PALF"/>
    <x v="0"/>
    <s v="Congo"/>
    <m/>
    <m/>
    <m/>
  </r>
  <r>
    <x v="3"/>
    <s v="achat billet: Brazzaville - Owando/T73"/>
    <s v="Transport"/>
    <s v="Investigations"/>
    <n v="7000"/>
    <n v="12.276071306437045"/>
    <n v="570.21500000000003"/>
    <s v="T73"/>
    <s v="T73-J-R1"/>
    <s v="PALF"/>
    <x v="0"/>
    <s v="Congo"/>
    <m/>
    <m/>
    <m/>
  </r>
  <r>
    <x v="3"/>
    <s v="T73 - CONGO Food Allowance du 07 au 17/01/2025 (10 nuitées) à Owando et Oyo"/>
    <s v="Travel Subsistence"/>
    <s v="Investigations"/>
    <n v="100000"/>
    <n v="175.37244723481493"/>
    <n v="570.21500000000003"/>
    <s v="T73"/>
    <s v="T73-J-D1"/>
    <s v="PALF"/>
    <x v="0"/>
    <s v="Congo"/>
    <m/>
    <m/>
    <m/>
  </r>
  <r>
    <x v="4"/>
    <s v="Achat billet d'Avion Retour Cotonou - Brazzaville/DOVI"/>
    <s v="Transport"/>
    <s v="Management"/>
    <n v="226000"/>
    <n v="396.34173075068173"/>
    <n v="570.21500000000003"/>
    <s v="DOVI"/>
    <s v="DH-J-R2"/>
    <s v="PALF"/>
    <x v="0"/>
    <s v="Congo"/>
    <m/>
    <m/>
    <m/>
  </r>
  <r>
    <x v="4"/>
    <s v="Frais de transfert d'argent à DOVI"/>
    <s v="Transfer Fees"/>
    <s v="Office"/>
    <n v="22640"/>
    <n v="39.704322053962102"/>
    <n v="570.21500000000003"/>
    <s v="Merveille"/>
    <s v="CA-J-R9"/>
    <s v="PALF"/>
    <x v="0"/>
    <s v="Congo"/>
    <m/>
    <m/>
    <m/>
  </r>
  <r>
    <x v="4"/>
    <s v="Achat billet brazzaville-owando/P29"/>
    <s v="Transport"/>
    <s v="Investigations"/>
    <n v="7000"/>
    <n v="12.276071306437045"/>
    <n v="570.21500000000003"/>
    <s v="P29"/>
    <s v="P29-J-R1"/>
    <s v="PALF"/>
    <x v="0"/>
    <s v="Congo"/>
    <m/>
    <m/>
    <m/>
  </r>
  <r>
    <x v="4"/>
    <s v="Achat de Billet Brazzaville-Owando/Romain"/>
    <s v="Transport"/>
    <s v="Legal"/>
    <n v="7000"/>
    <n v="12.276071306437045"/>
    <n v="570.21500000000003"/>
    <s v="Romain"/>
    <s v="RM-J-R1"/>
    <s v="PALF"/>
    <x v="0"/>
    <s v="Congo"/>
    <m/>
    <m/>
    <m/>
  </r>
  <r>
    <x v="4"/>
    <s v="Achat billet Brazzaville - Owando/Abraham"/>
    <s v="Transport"/>
    <s v="Legal"/>
    <n v="7000"/>
    <n v="12.276071306437045"/>
    <n v="570.21500000000003"/>
    <s v="Abraham"/>
    <s v="AB-J-R1"/>
    <s v="PALF"/>
    <x v="0"/>
    <s v="Congo"/>
    <m/>
    <m/>
    <m/>
  </r>
  <r>
    <x v="4"/>
    <s v="Frais de transfert d'argent à T73"/>
    <s v="Transfer Fees"/>
    <s v="Office"/>
    <n v="1860"/>
    <n v="3.2619275185675578"/>
    <n v="570.21500000000003"/>
    <s v="Roderlin"/>
    <s v="CA-J-R10"/>
    <s v="PALF"/>
    <x v="0"/>
    <s v="Congo"/>
    <m/>
    <m/>
    <m/>
  </r>
  <r>
    <x v="4"/>
    <s v="Achat billet Brazzaville-Owando/Donald-Roméo"/>
    <s v="Transport"/>
    <s v="Legal"/>
    <n v="7000"/>
    <n v="12.276071306437045"/>
    <n v="570.21500000000003"/>
    <s v="Donald-Roméo"/>
    <s v="DR-J-R1"/>
    <s v="PALF"/>
    <x v="0"/>
    <s v="Congo"/>
    <m/>
    <m/>
    <m/>
  </r>
  <r>
    <x v="5"/>
    <s v="Billet: Brazzaville-Owando/Crepin"/>
    <s v="Transport"/>
    <s v="Operations"/>
    <n v="7000"/>
    <n v="12.276071306437045"/>
    <n v="570.21500000000003"/>
    <s v="Crépin"/>
    <s v="CR-J-R1"/>
    <s v="PALF"/>
    <x v="0"/>
    <s v="Congo"/>
    <m/>
    <m/>
    <m/>
  </r>
  <r>
    <x v="5"/>
    <s v="P29 - CONGO Foodallowance mission du 09 au 17/01/2025 à Owando et Oyo (08 Nuitées)"/>
    <s v="Travel Subsistence"/>
    <s v="Investigations"/>
    <n v="80000"/>
    <n v="140.29795778785194"/>
    <n v="570.21500000000003"/>
    <s v="P29"/>
    <s v="P29-J-D1"/>
    <s v="PALF"/>
    <x v="0"/>
    <s v="Congo"/>
    <m/>
    <m/>
    <m/>
  </r>
  <r>
    <x v="5"/>
    <s v="ROMAIN-CONGO Food Alowance du 09 au 25  janvier à Owando(16 Nuitées)"/>
    <s v="Travel Subsistence"/>
    <s v="Legal"/>
    <n v="160000"/>
    <n v="280.59591557570388"/>
    <n v="570.21500000000003"/>
    <s v="Romain"/>
    <s v="RM-J-D1"/>
    <s v="PALF"/>
    <x v="0"/>
    <s v="Congo"/>
    <m/>
    <m/>
    <m/>
  </r>
  <r>
    <x v="5"/>
    <s v="ABRAHAM - CONGO food allowance du 09 au 17/01/2025 à Owando (08Nuitées)"/>
    <s v="Travel Subsistence"/>
    <s v="Legal"/>
    <n v="80000"/>
    <n v="140.29795778785194"/>
    <n v="570.21500000000003"/>
    <s v="Abraham"/>
    <s v="AB-J-D1"/>
    <s v="PALF"/>
    <x v="0"/>
    <s v="Congo"/>
    <m/>
    <m/>
    <m/>
  </r>
  <r>
    <x v="5"/>
    <s v="Frais de transfert d'argent à P29 et Romain"/>
    <s v="Transfer Fees"/>
    <s v="Office"/>
    <n v="32070"/>
    <n v="56.241943828205144"/>
    <n v="570.21500000000003"/>
    <s v="Roderlin"/>
    <s v="CA-J-R11"/>
    <s v="PALF"/>
    <x v="0"/>
    <s v="Congo"/>
    <m/>
    <m/>
    <m/>
  </r>
  <r>
    <x v="5"/>
    <s v="Donald-Roméo - CONGO Food Allowance Mission du  09 au 19/01/2025 à Owando"/>
    <s v="Travel Subsistence"/>
    <s v="Legal"/>
    <n v="100000"/>
    <n v="175.37244723481493"/>
    <n v="570.21500000000003"/>
    <s v="Donald-Roméo"/>
    <s v="DR-J-D1"/>
    <s v="PALF"/>
    <x v="0"/>
    <s v="Congo"/>
    <m/>
    <m/>
    <m/>
  </r>
  <r>
    <x v="5"/>
    <s v="Achat billet Brazzaville-Owando/Evariste"/>
    <s v="Transport"/>
    <s v="Media"/>
    <n v="7000"/>
    <n v="12.276071306437045"/>
    <n v="570.21500000000003"/>
    <s v="Evariste"/>
    <s v="EV-J-R1"/>
    <s v="PALF"/>
    <x v="0"/>
    <s v="Congo"/>
    <m/>
    <m/>
    <m/>
  </r>
  <r>
    <x v="6"/>
    <s v="CREPIN IBOUILI - CONGO Food-Allowance à Owando du 10 au 25/01/2025/(15 Nuitées)"/>
    <s v="Travel Subsistence"/>
    <s v="Legal"/>
    <n v="150000"/>
    <n v="263.05867085222241"/>
    <n v="570.21500000000003"/>
    <s v="Crépin"/>
    <s v="CR-J-D1"/>
    <s v="PALF"/>
    <x v="0"/>
    <s v="Congo"/>
    <m/>
    <m/>
    <m/>
  </r>
  <r>
    <x v="6"/>
    <s v="Reglement facture d'electricité periode Novembre - Decembre 2024/Bureau PALF"/>
    <s v="Rent &amp; Utilities"/>
    <s v="Office"/>
    <n v="59466"/>
    <n v="104.28697947265505"/>
    <n v="570.21500000000003"/>
    <s v="Roderlin"/>
    <s v="CA-J-R13"/>
    <s v="PALF"/>
    <x v="0"/>
    <s v="Congo"/>
    <m/>
    <m/>
    <m/>
  </r>
  <r>
    <x v="6"/>
    <s v="EVARISTE - CONGO Food Allowance du 10 au 17 janvier 2025 mission à Owando (7 nuitées)"/>
    <s v="Travel Subsistence"/>
    <s v="Media"/>
    <n v="70000"/>
    <n v="122.76071306437045"/>
    <n v="570.21500000000003"/>
    <s v="Evariste"/>
    <s v="EV-J-D1"/>
    <s v="PALF"/>
    <x v="0"/>
    <s v="Congo"/>
    <m/>
    <m/>
    <m/>
  </r>
  <r>
    <x v="7"/>
    <s v="CREPIN IBOUILI  - CONGO Frais d'hôtel à Owando du 10 au 13/01/2025 (03 Nuitées)"/>
    <s v="Travel Subsistence"/>
    <s v="Operations"/>
    <n v="45000"/>
    <n v="78.917601255666725"/>
    <n v="570.21500000000003"/>
    <s v="Crépin"/>
    <s v="CR-J-R2"/>
    <s v="PALF"/>
    <x v="0"/>
    <s v="Congo"/>
    <m/>
    <m/>
    <m/>
  </r>
  <r>
    <x v="7"/>
    <s v="P29 - CONGO Frais d'hotel du 09 au 13/01/2025 à owando (4 Nuitées)"/>
    <s v="Travel Subsistence"/>
    <s v="Investigations"/>
    <n v="60000"/>
    <n v="105.22346834088896"/>
    <n v="570.21500000000003"/>
    <s v="P29"/>
    <s v="P29-J-R2"/>
    <s v="PALF"/>
    <x v="0"/>
    <s v="Congo"/>
    <m/>
    <m/>
    <m/>
  </r>
  <r>
    <x v="7"/>
    <s v="Frais de transfert d'argent à T73"/>
    <s v="Transfer Fees"/>
    <s v="Office"/>
    <n v="1000"/>
    <n v="1.7537244723481493"/>
    <n v="570.21500000000003"/>
    <s v="Roderlin"/>
    <s v="CA-J-R14"/>
    <s v="PALF"/>
    <x v="0"/>
    <s v="Congo"/>
    <m/>
    <m/>
    <m/>
  </r>
  <r>
    <x v="8"/>
    <s v="Reglement facture d'hotel Eric ONA du 07 au 14/01/2025/(07 Nuitées)"/>
    <s v="Travel Subsistence"/>
    <s v="Management"/>
    <n v="245000"/>
    <n v="429.66249572529659"/>
    <n v="570.21500000000003"/>
    <s v="Abraham"/>
    <s v="CA-J-R12"/>
    <s v="PALF"/>
    <x v="0"/>
    <s v="Congo"/>
    <m/>
    <m/>
    <m/>
  </r>
  <r>
    <x v="8"/>
    <s v="Frais de transfert d'argent à Romain,P29 et Donald-Roméo"/>
    <s v="Transfer Fees"/>
    <s v="Office"/>
    <n v="8100"/>
    <n v="14.205168226020009"/>
    <n v="570.21500000000003"/>
    <s v="Roderlin"/>
    <s v="CA-J-R15"/>
    <s v="PALF"/>
    <x v="0"/>
    <s v="Congo"/>
    <m/>
    <m/>
    <m/>
  </r>
  <r>
    <x v="9"/>
    <s v="Raffraichissement et plats avec 03 gendarmes pendant l'attente du top"/>
    <s v="Travel Subsistence"/>
    <s v="Operations"/>
    <n v="9750"/>
    <n v="17.098813605394454"/>
    <n v="570.21500000000003"/>
    <s v="Crépin"/>
    <s v="CR-J-R3"/>
    <s v="PALF"/>
    <x v="0"/>
    <s v="Congo"/>
    <m/>
    <m/>
    <m/>
  </r>
  <r>
    <x v="9"/>
    <s v="Achat credit  teléphonique MTN/PALF/Deuxième partie du mois de Janvier 2025/Management"/>
    <s v="Telephone"/>
    <s v="Management"/>
    <n v="31000"/>
    <n v="54.365458642792625"/>
    <n v="570.21500000000003"/>
    <s v="Merveille"/>
    <s v="CA-J-R17"/>
    <s v="PALF"/>
    <x v="0"/>
    <s v="Congo"/>
    <m/>
    <m/>
    <m/>
  </r>
  <r>
    <x v="9"/>
    <s v="Achat credit  teléphonique MTN/PALF/Deuxième partie du mois de Janvier 2025/Legal"/>
    <s v="Telephone"/>
    <s v="Legal"/>
    <n v="35000"/>
    <n v="61.380356532185225"/>
    <n v="570.21500000000003"/>
    <s v="Merveille"/>
    <s v="CA-J-R18"/>
    <s v="PALF"/>
    <x v="0"/>
    <s v="Congo"/>
    <m/>
    <m/>
    <m/>
  </r>
  <r>
    <x v="9"/>
    <s v="Achat credit  teléphonique MTN/PALF/Deuxième partie du mois de Janvier 2025/Investigation"/>
    <s v="Telephone"/>
    <s v="Investigations"/>
    <n v="50000"/>
    <n v="87.686223617407464"/>
    <n v="570.21500000000003"/>
    <s v="Merveille"/>
    <s v="CA-J-R19"/>
    <s v="PALF"/>
    <x v="0"/>
    <s v="Congo"/>
    <m/>
    <m/>
    <m/>
  </r>
  <r>
    <x v="9"/>
    <s v="Achat credit  teléphonique MTN/PALF/Deuxième partie du mois de Janvier 2025/Media"/>
    <s v="Telephone"/>
    <s v="Media"/>
    <n v="10000"/>
    <n v="17.537244723481493"/>
    <n v="570.21500000000003"/>
    <s v="Merveille"/>
    <s v="CA-J-R20"/>
    <s v="PALF"/>
    <x v="0"/>
    <s v="Congo"/>
    <m/>
    <m/>
    <m/>
  </r>
  <r>
    <x v="9"/>
    <s v="Achat credit  teléphonique Airtel/PALF/Deuxième partie du mois de Janvier 2025/Legal"/>
    <s v="Telephone"/>
    <s v="Legal"/>
    <n v="10000"/>
    <n v="17.537244723481493"/>
    <n v="570.21500000000003"/>
    <s v="Merveille"/>
    <s v="CA-J-R21"/>
    <s v="PALF"/>
    <x v="0"/>
    <s v="Congo"/>
    <m/>
    <m/>
    <m/>
  </r>
  <r>
    <x v="9"/>
    <s v="Achat credit  teléphonique Airtel/PALF/Deuxième partie du mois de Janvier 2025/Investigation"/>
    <s v="Telephone"/>
    <s v="Investigations"/>
    <n v="5000"/>
    <n v="8.7686223617407464"/>
    <n v="570.21500000000003"/>
    <s v="Merveille"/>
    <s v="CA-J-R22"/>
    <s v="PALF"/>
    <x v="0"/>
    <s v="Congo"/>
    <m/>
    <m/>
    <m/>
  </r>
  <r>
    <x v="9"/>
    <s v="Location véhicule owando-oyo,extraction/après opération"/>
    <s v="Transport"/>
    <s v="Investigations"/>
    <n v="50000"/>
    <n v="87.686223617407464"/>
    <n v="570.21500000000003"/>
    <s v="P29"/>
    <s v="P29-J-R3"/>
    <s v="PALF"/>
    <x v="0"/>
    <s v="Congo"/>
    <m/>
    <m/>
    <m/>
  </r>
  <r>
    <x v="9"/>
    <s v="T73- CONGO Frais d'hotel du 07 au 15/01/2025 (08nuitées ) à Owando"/>
    <s v="Travel Subsistence"/>
    <s v="Investigations"/>
    <n v="120000"/>
    <n v="210.44693668177791"/>
    <n v="570.21500000000003"/>
    <s v="T73"/>
    <s v="T73-J-R2"/>
    <s v="PALF"/>
    <x v="0"/>
    <s v="Congo"/>
    <m/>
    <m/>
    <m/>
  </r>
  <r>
    <x v="9"/>
    <s v="Location  1 Taxis pour l'opération (Gendarmerie-Hotel  la Concorde:Aller-Retour)"/>
    <s v="Transport"/>
    <s v="Operations"/>
    <n v="8500"/>
    <n v="14.90665801495927"/>
    <n v="570.21500000000003"/>
    <s v="Romain"/>
    <s v="RM-J-R2"/>
    <s v="PALF"/>
    <x v="0"/>
    <s v="Congo"/>
    <m/>
    <m/>
    <m/>
  </r>
  <r>
    <x v="9"/>
    <s v="Location  1 Taxis pour l'opération (Gendarmerie-Hotel  la Concorde:Aller-Retour)"/>
    <s v="Transport"/>
    <s v="Operations"/>
    <n v="8500"/>
    <n v="14.90665801495927"/>
    <n v="570.21500000000003"/>
    <s v="Romain"/>
    <s v="RM-J-R3"/>
    <s v="PALF"/>
    <x v="0"/>
    <s v="Congo"/>
    <m/>
    <m/>
    <m/>
  </r>
  <r>
    <x v="9"/>
    <s v="Rafraichissement en attente opération "/>
    <s v="Travel Subsistence"/>
    <s v="Operations"/>
    <n v="10100"/>
    <n v="17.712617170716307"/>
    <n v="570.21500000000003"/>
    <s v="Romain"/>
    <s v="RM-J-R4"/>
    <s v="PALF"/>
    <x v="0"/>
    <s v="Congo"/>
    <m/>
    <m/>
    <m/>
  </r>
  <r>
    <x v="9"/>
    <s v="ABRAHAM - CONGO frais d'Hôtel (Hôtel Joela) du 09 au 15/01/2025 Owando (06Nuitées)"/>
    <s v="Travel Subsistence"/>
    <s v="Legal"/>
    <n v="90000"/>
    <n v="157.83520251133345"/>
    <n v="570.21500000000003"/>
    <s v="Abraham"/>
    <s v="AB-J-R2"/>
    <s v="PALF"/>
    <x v="0"/>
    <s v="Congo"/>
    <m/>
    <m/>
    <m/>
  </r>
  <r>
    <x v="9"/>
    <s v="Rafraîchissement attente op"/>
    <s v="Travel Subsistence"/>
    <s v="Operations"/>
    <n v="9600"/>
    <n v="16.835754934542233"/>
    <n v="570.21500000000003"/>
    <s v="Abraham"/>
    <s v="AB-J-R3"/>
    <s v="PALF"/>
    <x v="0"/>
    <s v="Congo"/>
    <m/>
    <m/>
    <m/>
  </r>
  <r>
    <x v="9"/>
    <s v="Achat billet Brazzaville-Dolisie/Rodelin"/>
    <s v="Transport"/>
    <s v="Legal"/>
    <n v="8000"/>
    <n v="14.029795778785195"/>
    <n v="570.21500000000003"/>
    <s v="Roderlin"/>
    <s v="RO-J-R1"/>
    <s v="PALF"/>
    <x v="0"/>
    <s v="Congo"/>
    <m/>
    <m/>
    <m/>
  </r>
  <r>
    <x v="9"/>
    <s v="Frais de mission maitre marie Helène à dolisie du 16 au 18/01/2025"/>
    <s v="Lawyer Fees"/>
    <s v="Legal"/>
    <n v="72000"/>
    <n v="126.26816200906674"/>
    <n v="570.21500000000003"/>
    <s v="Roderlin"/>
    <s v="CA-J-R16"/>
    <s v="PALF"/>
    <x v="0"/>
    <s v="Congo"/>
    <m/>
    <m/>
    <m/>
  </r>
  <r>
    <x v="9"/>
    <s v="Achat carburant BJ  pour OP"/>
    <s v="Transport"/>
    <s v="Operations"/>
    <n v="25000"/>
    <n v="43.843111808703732"/>
    <n v="570.21500000000003"/>
    <s v="Donald-Roméo"/>
    <s v="DR-J-R2"/>
    <s v="PALF"/>
    <x v="0"/>
    <s v="Congo"/>
    <m/>
    <m/>
    <m/>
  </r>
  <r>
    <x v="9"/>
    <s v="Raffraichissement OP  à Owando/10  gendarmes et moi"/>
    <s v="Travel Subsistence"/>
    <s v="Operations"/>
    <n v="19600"/>
    <n v="34.372999658023723"/>
    <n v="570.21500000000003"/>
    <s v="Donald-Roméo"/>
    <s v="DR-J-R3"/>
    <s v="PALF"/>
    <x v="0"/>
    <s v="Congo"/>
    <m/>
    <m/>
    <m/>
  </r>
  <r>
    <x v="9"/>
    <s v="Rafraichissement de mon équipe lors de l'opération"/>
    <s v="Travel Subsistence"/>
    <s v="Operations"/>
    <n v="9700"/>
    <n v="17.011127381777047"/>
    <n v="570.21500000000003"/>
    <s v="Evariste"/>
    <s v="EV-J-R2"/>
    <s v="PALF"/>
    <x v="0"/>
    <s v="Congo"/>
    <m/>
    <m/>
    <m/>
  </r>
  <r>
    <x v="10"/>
    <s v="Bonus pour 16 gendarmes ayant participé à l'opération du 15 Janvier 2025 à Owando"/>
    <s v="Bonus"/>
    <s v="Operations"/>
    <n v="160000"/>
    <n v="280.59591557570388"/>
    <n v="570.21500000000003"/>
    <s v="Crépin"/>
    <s v="CR-J-R4"/>
    <s v="PALF"/>
    <x v="0"/>
    <s v="Congo"/>
    <m/>
    <m/>
    <m/>
  </r>
  <r>
    <x v="10"/>
    <s v="Bonus pour 02 EF ayant participé à l'opération du 15 Janvier 2025 à Owando"/>
    <s v="Bonus"/>
    <s v="Operations"/>
    <n v="20000"/>
    <n v="35.074489446962986"/>
    <n v="570.21500000000003"/>
    <s v="Crépin"/>
    <s v="CR-J-R5"/>
    <s v="PALF"/>
    <x v="0"/>
    <s v="Congo"/>
    <m/>
    <m/>
    <m/>
  </r>
  <r>
    <x v="10"/>
    <s v="Frais de transfert d'argent à Crepin,T73 et Evariste"/>
    <s v="Transfer Fees"/>
    <s v="Office"/>
    <n v="6055"/>
    <n v="10.618801680068044"/>
    <n v="570.21500000000003"/>
    <s v="Merveille"/>
    <s v="CA-J-R23"/>
    <s v="PALF"/>
    <x v="0"/>
    <s v="Congo"/>
    <m/>
    <m/>
    <m/>
  </r>
  <r>
    <x v="10"/>
    <s v="Achat billet Oyo-Brazzaville(Océan du Nord)/Abraham"/>
    <s v="Transport"/>
    <s v="Legal"/>
    <n v="7000"/>
    <n v="12.276071306437045"/>
    <n v="570.21500000000003"/>
    <s v="Abraham"/>
    <s v="AB-J-R4"/>
    <s v="PALF"/>
    <x v="0"/>
    <s v="Congo"/>
    <m/>
    <m/>
    <m/>
  </r>
  <r>
    <x v="10"/>
    <s v="RODERLIN-CONGO food allowance du 16 au 18/01/2025 à Dolisie (02 nuitées)"/>
    <s v="Travel Subsistence"/>
    <s v="Legal"/>
    <n v="20000"/>
    <n v="35.074489446962986"/>
    <n v="570.21500000000003"/>
    <s v="Roderlin"/>
    <s v="RO-J-D1"/>
    <s v="PALF"/>
    <x v="0"/>
    <s v="Congo"/>
    <m/>
    <m/>
    <m/>
  </r>
  <r>
    <x v="10"/>
    <s v="Achat billet Owando-Brazzaville/Evariste"/>
    <s v="Transport"/>
    <s v="Media"/>
    <n v="7000"/>
    <n v="12.276071306437045"/>
    <n v="570.21500000000003"/>
    <s v="Evariste"/>
    <s v="EV-J-R3"/>
    <s v="PALF"/>
    <x v="0"/>
    <s v="Congo"/>
    <m/>
    <m/>
    <m/>
  </r>
  <r>
    <x v="11"/>
    <s v="Frais de transfert d'argent à Donald-Roméo et Romain"/>
    <s v="Transfer Fees"/>
    <s v="Office"/>
    <n v="6720"/>
    <n v="11.785028454179564"/>
    <n v="570.21500000000003"/>
    <s v="Merveille"/>
    <s v="CA-J-R24"/>
    <s v="PALF"/>
    <x v="0"/>
    <s v="Congo"/>
    <m/>
    <m/>
    <m/>
  </r>
  <r>
    <x v="11"/>
    <s v="Frais de mission maitre Alain BANZOUZI du 19 au 22/01/2025 à Owando"/>
    <s v="Lawyer Fees"/>
    <s v="Legal"/>
    <n v="176000"/>
    <n v="308.65550713327428"/>
    <n v="570.21500000000003"/>
    <s v="Merveille"/>
    <s v="CA-J-R25"/>
    <s v="PALF"/>
    <x v="0"/>
    <s v="Congo"/>
    <m/>
    <m/>
    <m/>
  </r>
  <r>
    <x v="11"/>
    <s v="P29 - Frais d'hotel du 13 au 17/01/2025  lieu op à owando(pour P29)/04 Nuitées"/>
    <s v="Travel Subsistence"/>
    <s v="Investigations"/>
    <n v="100000"/>
    <n v="175.37244723481493"/>
    <n v="570.21500000000003"/>
    <s v="P29"/>
    <s v="P29-J-R4"/>
    <s v="PALF"/>
    <x v="0"/>
    <s v="Congo"/>
    <m/>
    <m/>
    <m/>
  </r>
  <r>
    <x v="11"/>
    <s v="P29 - Frais d'hotel du 13 au 17/01/2025  lieu op à owando(Pour Crépin)/04 Nuitées"/>
    <s v="Travel Subsistence"/>
    <s v="Investigations"/>
    <n v="100000"/>
    <n v="175.37244723481493"/>
    <n v="570.21500000000003"/>
    <s v="P29"/>
    <s v="P29-J-R5"/>
    <s v="PALF"/>
    <x v="0"/>
    <s v="Congo"/>
    <m/>
    <m/>
    <m/>
  </r>
  <r>
    <x v="11"/>
    <s v="Achat billet oyo-brazzaville/P29"/>
    <s v="Transport"/>
    <s v="Investigations"/>
    <n v="7000"/>
    <n v="12.276071306437045"/>
    <n v="570.21500000000003"/>
    <s v="P29"/>
    <s v="P29-J-R6"/>
    <s v="PALF"/>
    <x v="0"/>
    <s v="Congo"/>
    <m/>
    <m/>
    <m/>
  </r>
  <r>
    <x v="11"/>
    <s v="P29 - CONGO Frais d'hotel du 15 au 17/01/2025  à oyo ( 02 Nuitées)"/>
    <s v="Travel Subsistence"/>
    <s v="Investigations"/>
    <n v="30000"/>
    <n v="52.611734170444478"/>
    <n v="570.21500000000003"/>
    <s v="P29"/>
    <s v="P29-J-R7"/>
    <s v="PALF"/>
    <x v="0"/>
    <s v="Congo"/>
    <m/>
    <m/>
    <m/>
  </r>
  <r>
    <x v="11"/>
    <s v="T73 - CONGO Frais d'hotel du 15 au 17/01/2025 (02nuitées ) à Oyo"/>
    <s v="Travel Subsistence"/>
    <s v="Investigations"/>
    <n v="30000"/>
    <n v="52.611734170444478"/>
    <n v="570.21500000000003"/>
    <s v="T73"/>
    <s v="T73-J-R3"/>
    <s v="PALF"/>
    <x v="0"/>
    <s v="Congo"/>
    <m/>
    <m/>
    <m/>
  </r>
  <r>
    <x v="11"/>
    <s v="achat billet : Oyo - Brazzaville /T73"/>
    <s v="Transport"/>
    <s v="Investigations"/>
    <n v="7000"/>
    <n v="12.276071306437045"/>
    <n v="570.21500000000003"/>
    <s v="T73"/>
    <s v="T73-J-R4"/>
    <s v="PALF"/>
    <x v="0"/>
    <s v="Congo"/>
    <m/>
    <m/>
    <m/>
  </r>
  <r>
    <x v="11"/>
    <s v="ABRAHAM - CONGO frais d'Hôtel (Hôtel Saint Benoit) du 17 au 17/01/2025 Oyo (02Nuitées)"/>
    <s v="Travel Subsistence"/>
    <s v="Legal"/>
    <n v="30000"/>
    <n v="52.611734170444478"/>
    <n v="570.21500000000003"/>
    <s v="Abraham"/>
    <s v="AB-J-R5"/>
    <s v="PALF"/>
    <x v="0"/>
    <s v="Congo"/>
    <m/>
    <m/>
    <m/>
  </r>
  <r>
    <x v="11"/>
    <s v="Cumul frais de Jail visit du mois de Janvier 2025/Roderlin"/>
    <s v="Jail visit"/>
    <s v="Legal"/>
    <n v="12000"/>
    <n v="21.044693668177793"/>
    <n v="570.21500000000003"/>
    <s v="Roderlin"/>
    <s v="RO-J-D2"/>
    <s v="PALF"/>
    <x v="0"/>
    <s v="Congo"/>
    <m/>
    <m/>
    <m/>
  </r>
  <r>
    <x v="11"/>
    <s v="Achat billet Dolisie -Brazzaville /Roderlin"/>
    <s v="Transport"/>
    <s v="Legal"/>
    <n v="8000"/>
    <n v="14.029795778785195"/>
    <n v="570.21500000000003"/>
    <s v="Roderlin"/>
    <s v="RO-J-R2"/>
    <s v="PALF"/>
    <x v="0"/>
    <s v="Congo"/>
    <m/>
    <m/>
    <m/>
  </r>
  <r>
    <x v="11"/>
    <s v="EVARISTE - CONGO Frais d'hôtel du 10 au 17 janvier 2025 (7 nuitées) à Owando"/>
    <s v="Travel Subsistence"/>
    <s v="Media"/>
    <n v="105000"/>
    <n v="184.14106959655567"/>
    <n v="570.21500000000003"/>
    <s v="Evariste"/>
    <s v="EV-J-R4"/>
    <s v="PALF"/>
    <x v="0"/>
    <s v="Congo"/>
    <m/>
    <m/>
    <m/>
  </r>
  <r>
    <x v="11"/>
    <s v="RAPATRIEME01100 RAO00010730"/>
    <s v="Grant"/>
    <m/>
    <m/>
    <m/>
    <n v="596.1932333333333"/>
    <s v="BCI"/>
    <s v="BQ-J-G1"/>
    <s v="PALF"/>
    <x v="0"/>
    <s v="Congo"/>
    <n v="17885797"/>
    <n v="30000"/>
    <m/>
  </r>
  <r>
    <x v="12"/>
    <s v="RODERLIN-CONGO frais d'hôtel du 16 au 18/01/2025 à DOLISIE (02 nuitées)"/>
    <s v="Travel Subsistence"/>
    <s v="Legal"/>
    <n v="30000"/>
    <n v="50.319275804982617"/>
    <n v="596.19299999999998"/>
    <s v="Roderlin"/>
    <s v="RO-J-R3"/>
    <s v="PALF"/>
    <x v="0"/>
    <s v="Congo"/>
    <m/>
    <m/>
    <m/>
  </r>
  <r>
    <x v="13"/>
    <s v="Achat billet Owando-Brazzaville/Donald-Roméo"/>
    <s v="Transport"/>
    <s v="Legal"/>
    <n v="7000"/>
    <n v="12.276071306437045"/>
    <n v="570.21500000000003"/>
    <s v="Donald-Roméo"/>
    <s v="DR-J-R4"/>
    <s v="PALF"/>
    <x v="0"/>
    <s v="Congo"/>
    <m/>
    <m/>
    <m/>
  </r>
  <r>
    <x v="13"/>
    <s v="DONALD-ROMEO - CONGO Frais d'hôtel du 09 au 19/01/2025 à  Owando (Hôtel  Joella)/ 10 Nuitées"/>
    <s v="Travel Subsistence"/>
    <s v="Legal"/>
    <n v="150000"/>
    <n v="251.59637902491309"/>
    <n v="596.19299999999998"/>
    <s v="Donald-Roméo"/>
    <s v="DR-J-R5"/>
    <s v="PALF"/>
    <x v="0"/>
    <s v="Congo"/>
    <m/>
    <m/>
    <m/>
  </r>
  <r>
    <x v="13"/>
    <s v="Cumul frais de transport local du mois de Janvier 2025/Donald-Roméo"/>
    <s v="Transport"/>
    <s v="Legal"/>
    <n v="12500"/>
    <n v="20.966364918742755"/>
    <n v="596.19299999999998"/>
    <s v="Donald-Roméo"/>
    <s v="DR-J-D2"/>
    <s v="PALF"/>
    <x v="0"/>
    <s v="Congo"/>
    <m/>
    <m/>
    <m/>
  </r>
  <r>
    <x v="14"/>
    <s v="Achat encre 216A et registre"/>
    <s v="Office Materials"/>
    <s v="Office"/>
    <n v="195000"/>
    <n v="327.07529273238703"/>
    <n v="596.19299999999998"/>
    <s v="Merveille"/>
    <s v="CA-J-R26"/>
    <s v="PALF"/>
    <x v="0"/>
    <s v="Congo"/>
    <m/>
    <m/>
    <m/>
  </r>
  <r>
    <x v="14"/>
    <s v="Prestation de nettoyage Jardin PALF mois de Janvier 2025"/>
    <s v="Services"/>
    <s v="Office"/>
    <n v="20000"/>
    <n v="33.546183869988411"/>
    <n v="596.19299999999998"/>
    <s v="Merveille"/>
    <s v="CA-J-R27"/>
    <s v="PALF"/>
    <x v="0"/>
    <s v="Congo"/>
    <m/>
    <m/>
    <m/>
  </r>
  <r>
    <x v="15"/>
    <s v="achat billet : Brazzaville - dolisie/T73"/>
    <s v="Transport"/>
    <s v="Investigations"/>
    <n v="7000"/>
    <n v="11.741164354495943"/>
    <n v="596.19299999999998"/>
    <s v="T73"/>
    <s v="T73-J-R5"/>
    <s v="PALF"/>
    <x v="0"/>
    <s v="Congo"/>
    <m/>
    <m/>
    <m/>
  </r>
  <r>
    <x v="15"/>
    <s v="Achat carte sim pour T73"/>
    <s v="Investigation materials"/>
    <s v="Investigations"/>
    <n v="10000"/>
    <n v="17.537244723481493"/>
    <n v="570.21500000000003"/>
    <s v="T73"/>
    <s v="T73-J-R16"/>
    <s v="PALF"/>
    <x v="0"/>
    <s v="Congo"/>
    <m/>
    <m/>
    <m/>
  </r>
  <r>
    <x v="15"/>
    <s v="Impréssion de la procédure de la Gendaremrie"/>
    <s v="Office Materials"/>
    <s v="Operations"/>
    <n v="24675"/>
    <n v="43.273151355190585"/>
    <n v="570.21500000000003"/>
    <s v="Romain"/>
    <s v="RM-J-R5"/>
    <s v="PALF"/>
    <x v="0"/>
    <s v="Congo"/>
    <m/>
    <m/>
    <m/>
  </r>
  <r>
    <x v="15"/>
    <s v="Cumul frais de jail visit du mois de Janvier 2025/Romain"/>
    <s v="Jail visit"/>
    <s v="Legal"/>
    <n v="26000"/>
    <n v="43.610039030984936"/>
    <n v="596.19299999999998"/>
    <s v="Romain"/>
    <s v="RM-J-D2"/>
    <s v="PALF"/>
    <x v="0"/>
    <s v="Congo"/>
    <m/>
    <m/>
    <m/>
  </r>
  <r>
    <x v="15"/>
    <s v="Bonus media portant sur l'operation du 15/01/2025"/>
    <s v="Bonus to media officer"/>
    <s v="Media"/>
    <n v="154000"/>
    <n v="258.30561579891076"/>
    <n v="596.19299999999998"/>
    <s v="Evariste"/>
    <s v="CA-J-D1"/>
    <s v="PALF"/>
    <x v="0"/>
    <s v="Congo"/>
    <m/>
    <m/>
    <m/>
  </r>
  <r>
    <x v="16"/>
    <s v="IT87 - CONGO Food Allowance mission du 22 au 30/01/2025 à Mouyondzi, Kolo, Bouansa et Madingou/(08 Nuitées)"/>
    <s v="Travel Subsistence"/>
    <s v="Investigations"/>
    <n v="80000"/>
    <n v="134.18473547995364"/>
    <n v="596.19299999999998"/>
    <s v="IT87"/>
    <s v="IT87-J-D1"/>
    <s v="PALF"/>
    <x v="0"/>
    <s v="Congo"/>
    <m/>
    <m/>
    <m/>
  </r>
  <r>
    <x v="16"/>
    <s v="Achat billet Brazzaville - Mouyondzi/ IT87"/>
    <s v="Transport"/>
    <s v="Investigations"/>
    <n v="7000"/>
    <n v="11.741164354495943"/>
    <n v="596.19299999999998"/>
    <s v="IT87"/>
    <s v="IT87-J-R1"/>
    <s v="PALF"/>
    <x v="0"/>
    <s v="Congo"/>
    <m/>
    <m/>
    <m/>
  </r>
  <r>
    <x v="16"/>
    <s v="Achat billet brazzaville-dolisie/P29"/>
    <s v="Transport"/>
    <s v="Investigations"/>
    <n v="7000"/>
    <n v="11.741164354495943"/>
    <n v="596.19299999999998"/>
    <s v="P29"/>
    <s v="P29-J-R8"/>
    <s v="PALF"/>
    <x v="0"/>
    <s v="Congo"/>
    <m/>
    <m/>
    <m/>
  </r>
  <r>
    <x v="16"/>
    <s v="P29 - CONGO Foodallowance mission du 22 au 30/01/2025 à Dolisie,Kimongo,Louvakou et ditadi (08 Nuitées)"/>
    <s v="Travel Subsistence"/>
    <s v="Investigations"/>
    <n v="80000"/>
    <n v="134.18473547995364"/>
    <n v="596.19299999999998"/>
    <s v="P29"/>
    <s v="P29-J-D2"/>
    <s v="PALF"/>
    <x v="0"/>
    <s v="Congo"/>
    <m/>
    <m/>
    <m/>
  </r>
  <r>
    <x v="16"/>
    <s v="T73 - CONGO Food Allowance du 22 au 30/01/2025 (08nuitées) à Dolisie,Kibangou,Mbanda et Passi passi"/>
    <s v="Travel Subsistence"/>
    <s v="Investigations"/>
    <n v="80000"/>
    <n v="134.18473547995364"/>
    <n v="596.19299999999998"/>
    <s v="T73"/>
    <s v="T73-J-D2"/>
    <s v="PALF"/>
    <x v="0"/>
    <s v="Congo"/>
    <m/>
    <m/>
    <m/>
  </r>
  <r>
    <x v="16"/>
    <s v="Achat billet: Brazzaville - dolisie / G12"/>
    <s v="Transport"/>
    <s v="Investigations"/>
    <n v="7000"/>
    <n v="11.741164354495943"/>
    <n v="596.19299999999998"/>
    <s v="G12"/>
    <s v="G12-J-R1"/>
    <s v="PALF"/>
    <x v="0"/>
    <s v="Congo"/>
    <m/>
    <m/>
    <m/>
  </r>
  <r>
    <x v="16"/>
    <s v="G12 - CONGO Food Allowance du 22  au 30 /01/2025 (08nuitées)"/>
    <s v="Travel Subsistence"/>
    <s v="Investigations"/>
    <n v="80000"/>
    <n v="134.18473547995364"/>
    <n v="596.19299999999998"/>
    <s v="G12"/>
    <s v="G12-J-D1"/>
    <s v="PALF"/>
    <x v="0"/>
    <s v="Congo"/>
    <m/>
    <m/>
    <m/>
  </r>
  <r>
    <x v="16"/>
    <s v="Cumul frais de transport local du mois de Janvier 2025/Abraham"/>
    <s v="Transport"/>
    <s v="Legal"/>
    <n v="14500"/>
    <n v="24.320983305741599"/>
    <n v="596.19299999999998"/>
    <s v="Abraham"/>
    <s v="AB-J-D2"/>
    <s v="PALF"/>
    <x v="0"/>
    <s v="Congo"/>
    <m/>
    <m/>
    <m/>
  </r>
  <r>
    <x v="16"/>
    <s v="Frais de transfert d'argent à Romain "/>
    <s v="Transfer Fees"/>
    <s v="Office"/>
    <n v="3330"/>
    <n v="5.5854396143530707"/>
    <n v="596.19299999999998"/>
    <s v="Abraham"/>
    <s v="CA-J-R28"/>
    <s v="PALF"/>
    <x v="0"/>
    <s v="Congo"/>
    <m/>
    <m/>
    <m/>
  </r>
  <r>
    <x v="16"/>
    <s v="Recharge bouteille de gaz de 12KG/Bureau PALF"/>
    <s v="Office Materials"/>
    <s v="Office"/>
    <n v="7500"/>
    <n v="12.579818951245654"/>
    <n v="596.19299999999998"/>
    <s v="Roderlin"/>
    <s v="CA-J-R29"/>
    <s v="PALF"/>
    <x v="0"/>
    <s v="Congo"/>
    <m/>
    <m/>
    <m/>
  </r>
  <r>
    <x v="17"/>
    <s v="Frais de notification contrat Roderlin et Abraham"/>
    <s v="Personnel"/>
    <s v="Legal"/>
    <n v="21000"/>
    <n v="35.22349306348783"/>
    <n v="596.19299999999998"/>
    <s v="Merveille"/>
    <s v="CA-J-R31"/>
    <s v="PALF"/>
    <x v="0"/>
    <s v="Congo"/>
    <m/>
    <m/>
    <m/>
  </r>
  <r>
    <x v="17"/>
    <s v="Frais de transfert d'argent à T73,P29,IT87 et G12"/>
    <s v="Transfer Fees"/>
    <s v="Office"/>
    <n v="21030"/>
    <n v="35.273812339292817"/>
    <n v="596.19299999999998"/>
    <s v="Roderlin"/>
    <s v="CA-J-R30"/>
    <s v="PALF"/>
    <x v="0"/>
    <s v="Congo"/>
    <m/>
    <m/>
    <m/>
  </r>
  <r>
    <x v="17"/>
    <s v="Paiement salaire du mois de Janvier 2025"/>
    <s v="Personnel"/>
    <s v="Management"/>
    <n v="1311000"/>
    <n v="2198.9523526777402"/>
    <n v="596.19299999999998"/>
    <s v="BCI"/>
    <s v="BQ-J-R4"/>
    <s v="PALF"/>
    <x v="0"/>
    <s v="Congo"/>
    <m/>
    <m/>
    <m/>
  </r>
  <r>
    <x v="17"/>
    <s v="Paiement salaire du mois de Janvier 2025/Loundou Jean Romain"/>
    <s v="Personnel"/>
    <s v="Legal"/>
    <n v="200000"/>
    <n v="335.46183869988408"/>
    <n v="596.19299999999998"/>
    <s v="BCI"/>
    <s v="BQ-J-R5"/>
    <s v="PALF"/>
    <x v="0"/>
    <s v="Congo"/>
    <m/>
    <m/>
    <m/>
  </r>
  <r>
    <x v="17"/>
    <s v="Paiement salaire du mois de Janvier 2025/Crepin IBOUILI IBOUILI"/>
    <s v="Personnel"/>
    <s v="Office"/>
    <n v="551482"/>
    <n v="925.00582864944738"/>
    <n v="596.19299999999998"/>
    <s v="BCI"/>
    <s v="BQ-J-R6"/>
    <s v="PALF"/>
    <x v="0"/>
    <s v="Congo"/>
    <m/>
    <m/>
    <m/>
  </r>
  <r>
    <x v="17"/>
    <s v="Paiement salaire du mois de Janvier 2025/Merveille MAHANGA"/>
    <s v="Personnel"/>
    <s v="Legal"/>
    <n v="384789"/>
    <n v="645.41012725744849"/>
    <n v="596.19299999999998"/>
    <s v="BCI"/>
    <s v="BQ-J-R7"/>
    <s v="PALF"/>
    <x v="0"/>
    <s v="Congo"/>
    <m/>
    <m/>
    <m/>
  </r>
  <r>
    <x v="17"/>
    <s v="Paiement salaire du mois de Janvier 2025 et congé/PINDI BINGA Donald-Roméo"/>
    <s v="Personnel"/>
    <s v="Legal"/>
    <n v="336400"/>
    <n v="564.24681269320502"/>
    <n v="596.19299999999998"/>
    <s v="BCI"/>
    <s v="BQ-J-R8"/>
    <s v="PALF"/>
    <x v="0"/>
    <s v="Congo"/>
    <m/>
    <m/>
    <m/>
  </r>
  <r>
    <x v="17"/>
    <s v="Paiement salaire du mois de Janvier 2025/BOUNGOU Abraham"/>
    <s v="Personnel"/>
    <s v="Legal"/>
    <n v="200000"/>
    <n v="335.46183869988408"/>
    <n v="596.19299999999998"/>
    <s v="BCI"/>
    <s v="BQ-J-R9"/>
    <s v="PALF"/>
    <x v="0"/>
    <s v="Congo"/>
    <m/>
    <m/>
    <m/>
  </r>
  <r>
    <x v="17"/>
    <s v="Paiement salaire du mois de Janvier 2025/FOUMBA Roderlin"/>
    <s v="Personnel"/>
    <s v="Legal"/>
    <n v="200000"/>
    <n v="335.46183869988408"/>
    <n v="596.19299999999998"/>
    <s v="BCI"/>
    <s v="BQ-J-R10"/>
    <s v="PALF"/>
    <x v="0"/>
    <s v="Congo"/>
    <m/>
    <m/>
    <m/>
  </r>
  <r>
    <x v="17"/>
    <s v="Paiement salaire du mois de Janvier 2025/Evariste LELOUSSI"/>
    <s v="Personnel"/>
    <s v="Media"/>
    <n v="238140"/>
    <n v="399.43441133995202"/>
    <n v="596.19299999999998"/>
    <s v="BCI"/>
    <s v="BQ-J-R11"/>
    <s v="PALF"/>
    <x v="0"/>
    <s v="Congo"/>
    <m/>
    <m/>
    <m/>
  </r>
  <r>
    <x v="18"/>
    <s v="Billet: Owando-Brazzaville/Crepin"/>
    <s v="Transport"/>
    <s v="Legal"/>
    <n v="7000"/>
    <n v="11.741164354495943"/>
    <n v="596.19299999999998"/>
    <s v="Crépin"/>
    <s v="CR-J-R6"/>
    <s v="PALF"/>
    <x v="0"/>
    <s v="Congo"/>
    <m/>
    <m/>
    <m/>
  </r>
  <r>
    <x v="18"/>
    <s v="Taxi : Mouyondzi - Village Kolo/ vérification de l'animal avec la cible"/>
    <s v="Transport"/>
    <s v="Investigations"/>
    <n v="5000"/>
    <n v="8.3865459674971028"/>
    <n v="596.19299999999998"/>
    <s v="IT87"/>
    <s v="IT87-J-R2"/>
    <s v="PALF"/>
    <x v="0"/>
    <s v="Congo"/>
    <m/>
    <m/>
    <m/>
  </r>
  <r>
    <x v="18"/>
    <s v="Taxi : Village Kolo - Mouyondzi/ Retour de la vérification avec la cible"/>
    <s v="Transport"/>
    <s v="Investigations"/>
    <n v="5000"/>
    <n v="8.3865459674971028"/>
    <n v="596.19299999999998"/>
    <s v="IT87"/>
    <s v="IT87-J-R3"/>
    <s v="PALF"/>
    <x v="0"/>
    <s v="Congo"/>
    <m/>
    <m/>
    <m/>
  </r>
  <r>
    <x v="18"/>
    <s v="P29 - CONGO Frais d'hotel du 22 au 24/01/2025 à Dolisie (02 Nuitées)"/>
    <s v="Travel Subsistence"/>
    <s v="Investigations"/>
    <n v="30000"/>
    <n v="50.319275804982617"/>
    <n v="596.19299999999998"/>
    <s v="P29"/>
    <s v="P29-J-R9"/>
    <s v="PALF"/>
    <x v="0"/>
    <s v="Congo"/>
    <m/>
    <m/>
    <m/>
  </r>
  <r>
    <x v="18"/>
    <s v="Achat billet Dolisie-kimongo/P29"/>
    <s v="Transport"/>
    <s v="Investigations"/>
    <n v="6000"/>
    <n v="10.063855160996523"/>
    <n v="596.19299999999998"/>
    <s v="P29"/>
    <s v="P29-J-R10"/>
    <s v="PALF"/>
    <x v="0"/>
    <s v="Congo"/>
    <m/>
    <m/>
    <m/>
  </r>
  <r>
    <x v="18"/>
    <s v="T73 - CONGO Frais d'hotel du 22 au 24/01/2025 (02nuitées ) à Dolisie"/>
    <s v="Travel Subsistence"/>
    <s v="Investigations"/>
    <n v="30000"/>
    <n v="50.319275804982617"/>
    <n v="596.19299999999998"/>
    <s v="T73"/>
    <s v="T73-J-R6"/>
    <s v="PALF"/>
    <x v="0"/>
    <s v="Congo"/>
    <m/>
    <m/>
    <m/>
  </r>
  <r>
    <x v="18"/>
    <s v="Achat billet: dolisie - Mbanda/T73"/>
    <s v="Transport"/>
    <s v="Investigations"/>
    <n v="15000"/>
    <n v="25.159637902491308"/>
    <n v="596.19299999999998"/>
    <s v="T73"/>
    <s v="T73-J-R7"/>
    <s v="PALF"/>
    <x v="0"/>
    <s v="Congo"/>
    <m/>
    <m/>
    <m/>
  </r>
  <r>
    <x v="18"/>
    <s v=" G12 - CONGO frais d'hotel du 22au 24 /01/2025 à Dolisie ( 2 nuitées)"/>
    <s v="Travel Subsistence"/>
    <s v="Investigations"/>
    <n v="30000"/>
    <n v="50.319275804982617"/>
    <n v="596.19299999999998"/>
    <s v="G12"/>
    <s v="G12-J-R2"/>
    <s v="PALF"/>
    <x v="0"/>
    <s v="Congo"/>
    <m/>
    <m/>
    <m/>
  </r>
  <r>
    <x v="18"/>
    <s v="Achat billet : Dolisie - mossendjo/G12"/>
    <s v="Transport"/>
    <s v="Investigations"/>
    <n v="8000"/>
    <n v="13.418473547995363"/>
    <n v="596.19299999999998"/>
    <s v="G12"/>
    <s v="G12-J-R3"/>
    <s v="PALF"/>
    <x v="0"/>
    <s v="Congo"/>
    <m/>
    <m/>
    <m/>
  </r>
  <r>
    <x v="18"/>
    <s v="Achat de Billet Owando-Brazzaville/Romain"/>
    <s v="Transport"/>
    <s v="Legal"/>
    <n v="7000"/>
    <n v="11.741164354495943"/>
    <n v="596.19299999999998"/>
    <s v="Romain"/>
    <s v="RM-J-R5"/>
    <s v="PALF"/>
    <x v="0"/>
    <s v="Congo"/>
    <m/>
    <m/>
    <m/>
  </r>
  <r>
    <x v="19"/>
    <s v="CREPIN IBOUILI  - CONGO Frais d'hôtel à Owando du 15 au 25/01/2025/10 Nuitées"/>
    <s v="Travel Subsistence"/>
    <s v="Legal"/>
    <n v="150000"/>
    <n v="251.59637902491309"/>
    <n v="596.19299999999998"/>
    <s v="Crépin"/>
    <s v="CR-J-R7"/>
    <s v="PALF"/>
    <x v="0"/>
    <s v="Congo"/>
    <m/>
    <m/>
    <m/>
  </r>
  <r>
    <x v="19"/>
    <s v="Cumul frais de transport local du mois de Janvier 2025/Crepin"/>
    <s v="Transport"/>
    <s v="Legal"/>
    <n v="13500"/>
    <n v="22.643674112242177"/>
    <n v="596.19299999999998"/>
    <s v="Crépin"/>
    <s v="CR-J-D2"/>
    <s v="PALF"/>
    <x v="0"/>
    <s v="Congo"/>
    <m/>
    <m/>
    <m/>
  </r>
  <r>
    <x v="19"/>
    <s v="ROMAIN - CONGO Frais d'hôtel de la mission du 09 au 25/2025 à Owando(16 nuitées)"/>
    <s v="Travel Subsistence"/>
    <s v="Legal"/>
    <n v="240000"/>
    <n v="402.55420643986093"/>
    <n v="596.19299999999998"/>
    <s v="Romain"/>
    <s v="RM-J-R7"/>
    <s v="PALF"/>
    <x v="0"/>
    <s v="Congo"/>
    <m/>
    <m/>
    <m/>
  </r>
  <r>
    <x v="20"/>
    <s v="IT87 - CONGO Frais d'hôtel DZA-MATSAKA du 22 au 26/01/2025 à Mouyondzi (04 nuitées)"/>
    <s v="Travel Subsistence"/>
    <s v="Investigations"/>
    <n v="60000"/>
    <n v="100.63855160996523"/>
    <n v="596.19299999999998"/>
    <s v="IT87"/>
    <s v="IT87-J-R4"/>
    <s v="PALF"/>
    <x v="0"/>
    <s v="Congo"/>
    <m/>
    <m/>
    <m/>
  </r>
  <r>
    <x v="20"/>
    <s v="Achat billet Mouyondzi - Bouansa/ IT87"/>
    <s v="Transport"/>
    <s v="Investigations"/>
    <n v="3000"/>
    <n v="5.0319275804982615"/>
    <n v="596.19299999999998"/>
    <s v="IT87"/>
    <s v="IT87-J-R5"/>
    <s v="PALF"/>
    <x v="0"/>
    <s v="Congo"/>
    <m/>
    <m/>
    <m/>
  </r>
  <r>
    <x v="20"/>
    <s v="P29 - CONGO Frais d'hotel du 24 au 26/01/2025 à kimongo ( 02 Nuitées)"/>
    <s v="Travel Subsistence"/>
    <s v="Investigations"/>
    <n v="30000"/>
    <n v="50.319275804982617"/>
    <n v="596.19299999999998"/>
    <s v="P29"/>
    <s v="P29-J-R11"/>
    <s v="PALF"/>
    <x v="0"/>
    <s v="Congo"/>
    <m/>
    <m/>
    <m/>
  </r>
  <r>
    <x v="20"/>
    <s v="Achat billet kimongo-dolisie/P29"/>
    <s v="Transport"/>
    <s v="Investigations"/>
    <n v="6000"/>
    <n v="10.063855160996523"/>
    <n v="596.19299999999998"/>
    <s v="P29"/>
    <s v="P29-J-R12"/>
    <s v="PALF"/>
    <x v="0"/>
    <s v="Congo"/>
    <m/>
    <m/>
    <m/>
  </r>
  <r>
    <x v="20"/>
    <s v="Achat billet dolisie-louvakou/P29"/>
    <s v="Transport"/>
    <s v="Investigations"/>
    <n v="5000"/>
    <n v="8.3865459674971028"/>
    <n v="596.19299999999998"/>
    <s v="P29"/>
    <s v="P29-J-R13"/>
    <s v="PALF"/>
    <x v="0"/>
    <s v="Congo"/>
    <m/>
    <m/>
    <m/>
  </r>
  <r>
    <x v="20"/>
    <s v="T73 - CONGO Frais d'hotel du 24 au 26/01/2025 (02nuitées ) à MBanda"/>
    <s v="Travel Subsistence"/>
    <s v="Investigations"/>
    <n v="30000"/>
    <n v="50.319275804982617"/>
    <n v="596.19299999999998"/>
    <s v="T73"/>
    <s v="T73-J-R8"/>
    <s v="PALF"/>
    <x v="0"/>
    <s v="Congo"/>
    <m/>
    <m/>
    <m/>
  </r>
  <r>
    <x v="20"/>
    <s v="achat billet : MBanda - kibangou/T73"/>
    <s v="Transport"/>
    <s v="Investigations"/>
    <n v="7000"/>
    <n v="11.741164354495943"/>
    <n v="596.19299999999998"/>
    <s v="T73"/>
    <s v="T73-J-R9"/>
    <s v="PALF"/>
    <x v="0"/>
    <s v="Congo"/>
    <m/>
    <m/>
    <m/>
  </r>
  <r>
    <x v="20"/>
    <s v="G12 congo frais d'hotel du 24 au 26/01/2025   à mossendjo(2nuitées)"/>
    <s v="Travel Subsistence"/>
    <s v="Investigations"/>
    <n v="30000"/>
    <n v="50.319275804982617"/>
    <n v="596.19299999999998"/>
    <s v="G12"/>
    <s v="G12-J-R4"/>
    <s v="PALF"/>
    <x v="0"/>
    <s v="Congo"/>
    <m/>
    <m/>
    <m/>
  </r>
  <r>
    <x v="20"/>
    <s v="Achat billet :Mossendjo makabana/G12"/>
    <s v="Transport"/>
    <s v="Investigations"/>
    <n v="5000"/>
    <n v="8.3865459674971028"/>
    <n v="596.19299999999998"/>
    <s v="G12"/>
    <s v="G12-J-R5"/>
    <s v="PALF"/>
    <x v="0"/>
    <s v="Congo"/>
    <m/>
    <m/>
    <m/>
  </r>
  <r>
    <x v="21"/>
    <s v="Prime de fin d'année Donald-Roméo"/>
    <s v="Personnel"/>
    <s v="Legal"/>
    <n v="127070"/>
    <n v="213.13567921797136"/>
    <n v="596.19299999999998"/>
    <s v="Merveille"/>
    <s v="CA-J-D2"/>
    <s v="PALF"/>
    <x v="0"/>
    <s v="Congo"/>
    <m/>
    <m/>
    <m/>
  </r>
  <r>
    <x v="21"/>
    <s v="Cumul frais de trust building du mois de Janvier 2025/IT87"/>
    <s v="Trust Building"/>
    <s v="Investigations"/>
    <n v="17500"/>
    <n v="30.690178266092612"/>
    <n v="570.21500000000003"/>
    <s v="IT87"/>
    <s v="IT87-J-D2"/>
    <s v="PALF"/>
    <x v="0"/>
    <s v="Congo"/>
    <m/>
    <m/>
    <m/>
  </r>
  <r>
    <x v="21"/>
    <s v="Cumul frais de trust building du mois de Janvier 2025/G12"/>
    <s v="Trust Building"/>
    <s v="Investigations"/>
    <n v="6000"/>
    <n v="10.522346834088896"/>
    <n v="570.21500000000003"/>
    <s v="G12"/>
    <s v="G12-J-D2"/>
    <s v="PALF"/>
    <x v="0"/>
    <s v="Congo"/>
    <m/>
    <m/>
    <m/>
  </r>
  <r>
    <x v="21"/>
    <s v="Bonus du mois de Janvier 2025/Donald-Roméo"/>
    <s v="Personnel"/>
    <s v="Legal"/>
    <n v="30000"/>
    <n v="50.319275804982617"/>
    <n v="596.19299999999998"/>
    <s v="Donald-Roméo"/>
    <s v="CA-J-D3"/>
    <s v="PALF"/>
    <x v="0"/>
    <s v="Congo"/>
    <m/>
    <m/>
    <m/>
  </r>
  <r>
    <x v="21"/>
    <s v="Bonus Opération du 15/01/2025 à Owando"/>
    <s v="Bonus"/>
    <s v="Operations"/>
    <n v="30000"/>
    <n v="52.611734170444478"/>
    <n v="570.21500000000003"/>
    <s v="Donald-Roméo"/>
    <s v="CA-J-D4"/>
    <s v="PALF"/>
    <x v="0"/>
    <s v="Congo"/>
    <m/>
    <m/>
    <m/>
  </r>
  <r>
    <x v="22"/>
    <s v="Paiement retraite Coordinateur periode Octobre,Novembre et Decembre 2024"/>
    <s v="Personnel"/>
    <s v="Management"/>
    <n v="150000"/>
    <n v="251.59637902491309"/>
    <n v="596.19299999999998"/>
    <s v="DOVI"/>
    <s v="CA-J-R33"/>
    <s v="PALF"/>
    <x v="0"/>
    <s v="Congo"/>
    <m/>
    <m/>
    <m/>
  </r>
  <r>
    <x v="22"/>
    <s v="IT87 - CONGO Frais d'hôtel le Point de Repère du 26 au 28/01/2025 à Bouansa (02 Nuitées)"/>
    <s v="Travel Subsistence"/>
    <s v="Investigations"/>
    <n v="30000"/>
    <n v="50.319275804982617"/>
    <n v="596.19299999999998"/>
    <s v="IT87"/>
    <s v="IT87-J-R6"/>
    <s v="PALF"/>
    <x v="0"/>
    <s v="Congo"/>
    <m/>
    <m/>
    <m/>
  </r>
  <r>
    <x v="22"/>
    <s v="Achat billet Bouansa - Madingou/ IT87"/>
    <s v="Transport"/>
    <s v="Investigations"/>
    <n v="2000"/>
    <n v="3.3546183869988409"/>
    <n v="596.19299999999998"/>
    <s v="IT87"/>
    <s v="IT87-J-R7"/>
    <s v="PALF"/>
    <x v="0"/>
    <s v="Congo"/>
    <m/>
    <m/>
    <m/>
  </r>
  <r>
    <x v="22"/>
    <s v="P29 - CONGO Frais d'hotel du 26 au 28/01/2025 à louvakou (02 Nuitées)"/>
    <s v="Travel Subsistence"/>
    <s v="Investigations"/>
    <n v="30000"/>
    <n v="50.319275804982617"/>
    <n v="596.19299999999998"/>
    <s v="P29"/>
    <s v="P29-J-R14"/>
    <s v="PALF"/>
    <x v="0"/>
    <s v="Congo"/>
    <m/>
    <m/>
    <m/>
  </r>
  <r>
    <x v="22"/>
    <s v="Achat billet louvakou-ditadi/P29"/>
    <s v="Transport"/>
    <s v="Investigations"/>
    <n v="5000"/>
    <n v="8.3865459674971028"/>
    <n v="596.19299999999998"/>
    <s v="P29"/>
    <s v="P29-J-R15"/>
    <s v="PALF"/>
    <x v="0"/>
    <s v="Congo"/>
    <m/>
    <m/>
    <m/>
  </r>
  <r>
    <x v="22"/>
    <s v="T73 - CONGO Frais d'hotel du 26 au 28/01/2025 (02nuitées ) à Kibangou"/>
    <s v="Travel Subsistence"/>
    <s v="Investigations"/>
    <n v="30000"/>
    <n v="50.319275804982617"/>
    <n v="596.19299999999998"/>
    <s v="T73"/>
    <s v="T73-J-R10"/>
    <s v="PALF"/>
    <x v="0"/>
    <s v="Congo"/>
    <m/>
    <m/>
    <m/>
  </r>
  <r>
    <x v="22"/>
    <s v="Achat billet : kibangou - Passi Passi/T73"/>
    <s v="Transport"/>
    <s v="Investigations"/>
    <n v="5000"/>
    <n v="8.3865459674971028"/>
    <n v="596.19299999999998"/>
    <s v="T73"/>
    <s v="T73-J-R11"/>
    <s v="PALF"/>
    <x v="0"/>
    <s v="Congo"/>
    <m/>
    <m/>
    <m/>
  </r>
  <r>
    <x v="22"/>
    <s v="G12 - CONGO frais d'hotel du 26 au 28 /01/2025  à makabana (2nuitées)"/>
    <s v="Travel Subsistence"/>
    <s v="Investigations"/>
    <n v="30000"/>
    <n v="50.319275804982617"/>
    <n v="596.19299999999998"/>
    <s v="G12"/>
    <s v="G12-J-R6"/>
    <s v="PALF"/>
    <x v="0"/>
    <s v="Congo"/>
    <m/>
    <m/>
    <m/>
  </r>
  <r>
    <x v="22"/>
    <s v="Achat du billet makabana  - mila mila/G12"/>
    <s v="Transport"/>
    <s v="Investigations"/>
    <n v="5000"/>
    <n v="8.3865459674971028"/>
    <n v="596.19299999999998"/>
    <s v="G12"/>
    <s v="G12-J-R7"/>
    <s v="PALF"/>
    <x v="0"/>
    <s v="Congo"/>
    <m/>
    <m/>
    <m/>
  </r>
  <r>
    <x v="22"/>
    <s v="Achat carburant 100litre de Gazoil/Groupe electrogène PALF"/>
    <s v="Office Materials"/>
    <s v="Office"/>
    <n v="62500"/>
    <n v="104.83182459371379"/>
    <n v="596.19299999999998"/>
    <s v="Roderlin"/>
    <s v="CA-J-R32"/>
    <s v="PALF"/>
    <x v="0"/>
    <s v="Congo"/>
    <m/>
    <m/>
    <m/>
  </r>
  <r>
    <x v="22"/>
    <s v="Frais de virement salaire Janvier 2025"/>
    <s v="Bank fees"/>
    <s v="Office"/>
    <n v="10665"/>
    <n v="17.888502548671319"/>
    <n v="596.19299999999998"/>
    <s v="BCI"/>
    <s v="BQ-J-R12"/>
    <s v="PALF"/>
    <x v="0"/>
    <s v="Congo"/>
    <m/>
    <m/>
    <m/>
  </r>
  <r>
    <x v="23"/>
    <s v="Règlement prestation technicienne de surface (mois de Janvier 2025)"/>
    <s v="Services"/>
    <s v="Office"/>
    <n v="75625"/>
    <n v="126.84650775839368"/>
    <n v="596.19299999999998"/>
    <s v="Merveille"/>
    <s v="CA-J-R34"/>
    <s v="PALF"/>
    <x v="0"/>
    <s v="Congo"/>
    <m/>
    <m/>
    <m/>
  </r>
  <r>
    <x v="23"/>
    <s v="P29 - CONGO Frais d'hotel du 28 au 29/01/2025 à Ditadi/ 01 Nuitée"/>
    <s v="Travel Subsistence"/>
    <s v="Investigations"/>
    <n v="15000"/>
    <n v="25.159637902491308"/>
    <n v="596.19299999999998"/>
    <s v="P29"/>
    <s v="P29-J-R16"/>
    <s v="PALF"/>
    <x v="0"/>
    <s v="Congo"/>
    <m/>
    <m/>
    <m/>
  </r>
  <r>
    <x v="23"/>
    <s v="Achat billet ditadi-dolisie/P29"/>
    <s v="Transport"/>
    <s v="Investigations"/>
    <n v="3000"/>
    <n v="5.0319275804982615"/>
    <n v="596.19299999999998"/>
    <s v="P29"/>
    <s v="P29-J-R17"/>
    <s v="PALF"/>
    <x v="0"/>
    <s v="Congo"/>
    <m/>
    <m/>
    <m/>
  </r>
  <r>
    <x v="23"/>
    <s v="Cumul frais de trust building du mois de Janvier 2025/P29"/>
    <s v="Trust Building"/>
    <s v="Investigations"/>
    <n v="70200"/>
    <n v="123.11145795884008"/>
    <n v="570.21500000000003"/>
    <s v="P29"/>
    <s v="P29-J-D3"/>
    <s v="PALF"/>
    <x v="0"/>
    <s v="Congo"/>
    <m/>
    <m/>
    <m/>
  </r>
  <r>
    <x v="23"/>
    <s v="Achat  billet : Passi Passi pour Dolisie/T73"/>
    <s v="Transport"/>
    <s v="Investigations"/>
    <n v="2500"/>
    <n v="4.1932729837485514"/>
    <n v="596.19299999999998"/>
    <s v="T73"/>
    <s v="T73-J-R12"/>
    <s v="PALF"/>
    <x v="0"/>
    <s v="Congo"/>
    <m/>
    <m/>
    <m/>
  </r>
  <r>
    <x v="23"/>
    <s v="T73 - CONGO Frais d'hotel du 28 au 29/01/2025 (01nuitée ) à Passi Passi"/>
    <s v="Travel Subsistence"/>
    <s v="Investigations"/>
    <n v="15000"/>
    <n v="25.159637902491308"/>
    <n v="596.19299999999998"/>
    <s v="T73"/>
    <s v="T73-J-R13"/>
    <s v="PALF"/>
    <x v="0"/>
    <s v="Congo"/>
    <m/>
    <m/>
    <m/>
  </r>
  <r>
    <x v="23"/>
    <s v="Cumul frais de trust building du mois de Janvier 2025/T73"/>
    <s v="Trust Building"/>
    <s v="Investigations"/>
    <n v="32000"/>
    <n v="56.119183115140778"/>
    <n v="570.21500000000003"/>
    <s v="T73"/>
    <s v="T73-J-D3"/>
    <s v="PALF"/>
    <x v="0"/>
    <s v="Congo"/>
    <m/>
    <m/>
    <m/>
  </r>
  <r>
    <x v="23"/>
    <s v="G12-CONGO frais d'hotel du 28 au 29 /01/2025 à  mila mila( 1 nuitée)"/>
    <s v="Travel Subsistence"/>
    <s v="Investigations"/>
    <n v="15000"/>
    <n v="25.159637902491308"/>
    <n v="596.19299999999998"/>
    <s v="G12"/>
    <s v="G12-J-R8"/>
    <s v="PALF"/>
    <x v="0"/>
    <s v="Congo"/>
    <m/>
    <m/>
    <m/>
  </r>
  <r>
    <x v="23"/>
    <s v="Achat du billet mila mila -dolisie/G12"/>
    <s v="Transport"/>
    <s v="Investigations"/>
    <n v="3000"/>
    <n v="5.0319275804982615"/>
    <n v="596.19299999999998"/>
    <s v="G12"/>
    <s v="G12-J-R9"/>
    <s v="PALF"/>
    <x v="0"/>
    <s v="Congo"/>
    <m/>
    <m/>
    <m/>
  </r>
  <r>
    <x v="23"/>
    <s v="G12 - CONGO frais d'hotel du 29 au 30 /01/2025 à  Dolisie( 1 nuitée)"/>
    <s v="Travel Subsistence"/>
    <s v="Investigations"/>
    <n v="15000"/>
    <n v="25.159637902491308"/>
    <n v="596.19299999999998"/>
    <s v="G12"/>
    <s v="G12-J-R10"/>
    <s v="PALF"/>
    <x v="0"/>
    <s v="Congo"/>
    <m/>
    <m/>
    <m/>
  </r>
  <r>
    <x v="24"/>
    <s v="IT87 - CONGO Frais d'hôtel Dzongo Benoit du 28 au 30/01/2025 à Madingou (02 Nuitées)"/>
    <s v="Travel Subsistence"/>
    <s v="Investigations"/>
    <n v="30000"/>
    <n v="50.319275804982617"/>
    <n v="596.19299999999998"/>
    <s v="IT87"/>
    <s v="IT87-J-R8"/>
    <s v="PALF"/>
    <x v="0"/>
    <s v="Congo"/>
    <m/>
    <m/>
    <m/>
  </r>
  <r>
    <x v="24"/>
    <s v="Achat billet Madingou - Brazzaville/ IT87"/>
    <s v="Transport"/>
    <s v="Investigations"/>
    <n v="7000"/>
    <n v="11.741164354495943"/>
    <n v="596.19299999999998"/>
    <s v="IT87"/>
    <s v="IT87-J-R9"/>
    <s v="PALF"/>
    <x v="0"/>
    <s v="Congo"/>
    <m/>
    <m/>
    <m/>
  </r>
  <r>
    <x v="24"/>
    <s v="Cumul frais de transport local du mois de Janvier 2025/IT87"/>
    <s v="Transport"/>
    <s v="Investigations"/>
    <n v="39300"/>
    <n v="65.918251304527232"/>
    <n v="596.19299999999998"/>
    <s v="IT87"/>
    <s v="IT87-J-D3"/>
    <s v="PALF"/>
    <x v="0"/>
    <s v="Congo"/>
    <m/>
    <m/>
    <m/>
  </r>
  <r>
    <x v="24"/>
    <s v="Achat billet Dolisie-Brazzaville/P29"/>
    <s v="Transport"/>
    <s v="Investigations"/>
    <n v="7000"/>
    <n v="11.741164354495943"/>
    <n v="596.19299999999998"/>
    <s v="P29"/>
    <s v="P29-J-R18"/>
    <s v="PALF"/>
    <x v="0"/>
    <s v="Congo"/>
    <m/>
    <m/>
    <m/>
  </r>
  <r>
    <x v="24"/>
    <s v="P29 - CONGO Frais d'hotel du 29 au 30/01/2025 à Dolisie (01 Nuitée)"/>
    <s v="Travel Subsistence"/>
    <s v="Investigations"/>
    <n v="15000"/>
    <n v="25.159637902491308"/>
    <n v="596.19299999999998"/>
    <s v="P29"/>
    <s v="P29-J-R19"/>
    <s v="PALF"/>
    <x v="0"/>
    <s v="Congo"/>
    <m/>
    <m/>
    <m/>
  </r>
  <r>
    <x v="24"/>
    <s v="Cumul frais de transport local du mois de Janvier 2025/P29"/>
    <s v="Transport"/>
    <s v="Investigations"/>
    <n v="54800"/>
    <n v="91.916543803768249"/>
    <n v="596.19299999999998"/>
    <s v="P29"/>
    <s v="P29-J-D4"/>
    <s v="PALF"/>
    <x v="0"/>
    <s v="Congo"/>
    <m/>
    <m/>
    <m/>
  </r>
  <r>
    <x v="24"/>
    <s v="T73 - CONGO Frais d'hotel du 29 au 30/01/2025 (01nuitées ) à Dolisie"/>
    <s v="Travel Subsistence"/>
    <s v="Investigations"/>
    <n v="15000"/>
    <n v="25.159637902491308"/>
    <n v="596.19299999999998"/>
    <s v="T73"/>
    <s v="T73-J-R14"/>
    <s v="PALF"/>
    <x v="0"/>
    <s v="Congo"/>
    <m/>
    <m/>
    <m/>
  </r>
  <r>
    <x v="24"/>
    <s v="Achat billet : Dolisie - Brazzaville/ T73"/>
    <s v="Transport"/>
    <s v="Investigations"/>
    <n v="8000"/>
    <n v="13.418473547995363"/>
    <n v="596.19299999999998"/>
    <s v="T73"/>
    <s v="T73-J-R15"/>
    <s v="PALF"/>
    <x v="0"/>
    <s v="Congo"/>
    <m/>
    <m/>
    <m/>
  </r>
  <r>
    <x v="24"/>
    <s v="Cumul frais de transport local du mois de Janvier 2025/T73"/>
    <s v="Transport"/>
    <s v="Investigations"/>
    <n v="63400"/>
    <n v="106.34140286786327"/>
    <n v="596.19299999999998"/>
    <s v="T73"/>
    <s v="T73-J-D4"/>
    <s v="PALF"/>
    <x v="0"/>
    <s v="Congo"/>
    <m/>
    <m/>
    <m/>
  </r>
  <r>
    <x v="24"/>
    <s v="Achat billet : Dolisie - brazzaville/G12"/>
    <s v="Transport"/>
    <s v="Investigations"/>
    <n v="8000"/>
    <n v="13.418473547995363"/>
    <n v="596.19299999999998"/>
    <s v="G12"/>
    <s v="G12-J-R11"/>
    <s v="PALF"/>
    <x v="0"/>
    <s v="Congo"/>
    <m/>
    <m/>
    <m/>
  </r>
  <r>
    <x v="24"/>
    <s v="Cumul frais de transport local du mois Janvier 2025/G12"/>
    <s v="Transport"/>
    <s v="Investigations"/>
    <n v="38500"/>
    <n v="64.576403949727691"/>
    <n v="596.19299999999998"/>
    <s v="G12"/>
    <s v="G12-J-D3"/>
    <s v="PALF"/>
    <x v="0"/>
    <s v="Congo"/>
    <m/>
    <m/>
    <m/>
  </r>
  <r>
    <x v="24"/>
    <s v="Cumul frais de transport local du mois de Janvier 2025/Roderlin"/>
    <s v="Transport"/>
    <s v="Legal"/>
    <n v="33500"/>
    <n v="56.189857982230585"/>
    <n v="596.19299999999998"/>
    <s v="Roderlin"/>
    <s v="RO-J-D3"/>
    <s v="PALF"/>
    <x v="0"/>
    <s v="Congo"/>
    <m/>
    <m/>
    <m/>
  </r>
  <r>
    <x v="24"/>
    <s v="Cumul frais de transport local du mois de Janvier 2025/EVARISTE"/>
    <s v="Transport"/>
    <s v="Media"/>
    <n v="24500"/>
    <n v="41.094075240735805"/>
    <n v="596.19299999999998"/>
    <s v="Evariste"/>
    <s v="EV-J-D2"/>
    <s v="PALF"/>
    <x v="0"/>
    <s v="Congo"/>
    <m/>
    <m/>
    <m/>
  </r>
  <r>
    <x v="24"/>
    <s v="Bonus media portant sur le bilan des interpellation de 2023 et 2024"/>
    <s v="Bonus to media officer"/>
    <s v="Media"/>
    <n v="148000"/>
    <n v="248.24176063791424"/>
    <n v="596.19299999999998"/>
    <s v="Evariste"/>
    <s v="CA-J-D5"/>
    <s v="PALF"/>
    <x v="0"/>
    <s v="Congo"/>
    <m/>
    <m/>
    <m/>
  </r>
  <r>
    <x v="25"/>
    <s v="Cumul frais de transport local du mois de Janvier 2025/DOVI"/>
    <s v="Transport"/>
    <s v="Management"/>
    <n v="25500"/>
    <n v="42.771384434235223"/>
    <n v="596.19299999999998"/>
    <s v="DOVI"/>
    <s v="DH-J-D1"/>
    <s v="PALF"/>
    <x v="0"/>
    <s v="Congo"/>
    <m/>
    <m/>
    <m/>
  </r>
  <r>
    <x v="25"/>
    <s v="Reglement loyer du mois de Janvier 2025/DOVI Coordinateur PALF"/>
    <s v="Personnel"/>
    <s v="Management"/>
    <n v="174625"/>
    <n v="292.9001179148363"/>
    <n v="596.19299999999998"/>
    <s v="DOVI"/>
    <s v="DH-J-R3"/>
    <s v="PALF"/>
    <x v="0"/>
    <s v="Congo"/>
    <m/>
    <m/>
    <m/>
  </r>
  <r>
    <x v="25"/>
    <s v="Cumul frais de transport local du mois de Janvier 2025/Merveille"/>
    <s v="Transport"/>
    <s v="Office"/>
    <n v="41000"/>
    <n v="68.769676933476248"/>
    <n v="596.19299999999998"/>
    <s v="Merveille"/>
    <s v="ME-J-D1"/>
    <s v="PALF"/>
    <x v="0"/>
    <s v="Congo"/>
    <m/>
    <m/>
    <m/>
  </r>
  <r>
    <x v="25"/>
    <s v="Ramassage Ordure/bureau PALF"/>
    <s v="Services"/>
    <s v="Office"/>
    <n v="6000"/>
    <n v="10.063855160996523"/>
    <n v="596.19299999999998"/>
    <s v="Merveille"/>
    <s v="CA-J-R35"/>
    <s v="PALF"/>
    <x v="0"/>
    <s v="Congo"/>
    <m/>
    <m/>
    <m/>
  </r>
  <r>
    <x v="25"/>
    <s v="Reglement facture internet perionde du 01/02 au 28/02/2025 bureau PALF"/>
    <s v="Internet "/>
    <s v="Office"/>
    <n v="45050"/>
    <n v="75.562779167148889"/>
    <n v="596.19299999999998"/>
    <s v="Merveille"/>
    <s v="CA-J-R36"/>
    <s v="PALF"/>
    <x v="0"/>
    <s v="Congo"/>
    <m/>
    <m/>
    <m/>
  </r>
  <r>
    <x v="25"/>
    <s v="Cumul frais de transport local du mois de Janvier 2025/LOUNDOU Jean Romain"/>
    <s v="Transport"/>
    <s v="Legal"/>
    <n v="38000"/>
    <n v="63.737749352977978"/>
    <n v="596.19299999999998"/>
    <s v="Romain"/>
    <s v="RM-J-D3"/>
    <s v="PALF"/>
    <x v="0"/>
    <s v="Congo"/>
    <m/>
    <m/>
    <m/>
  </r>
  <r>
    <x v="25"/>
    <s v="Installation Pack office et activation et installation des pratiques logiques"/>
    <s v="Website and software"/>
    <s v="Office"/>
    <n v="50000"/>
    <n v="83.865459674971021"/>
    <n v="596.19299999999998"/>
    <s v="Abraham"/>
    <s v="CA-J-R37"/>
    <s v="PALF"/>
    <x v="0"/>
    <s v="Congo"/>
    <m/>
    <m/>
    <m/>
  </r>
  <r>
    <x v="25"/>
    <s v="Reglement honoraire du mois de Janvier 2025/G12"/>
    <s v="Personnel"/>
    <s v="Investigations"/>
    <n v="255000"/>
    <n v="427.71384434235222"/>
    <n v="596.19299999999998"/>
    <s v="BCI"/>
    <s v="BQ-J-R15"/>
    <s v="PALF"/>
    <x v="0"/>
    <s v="Congo"/>
    <m/>
    <m/>
    <m/>
  </r>
  <r>
    <x v="25"/>
    <s v="Reglement honoraire du mois de Janvier 2025/T73"/>
    <s v="Personnel"/>
    <s v="Investigations"/>
    <n v="335000"/>
    <n v="561.89857982230592"/>
    <n v="596.19299999999998"/>
    <s v="BCI"/>
    <s v="BQ-J-R16"/>
    <s v="PALF"/>
    <x v="0"/>
    <s v="Congo"/>
    <m/>
    <m/>
    <m/>
  </r>
  <r>
    <x v="25"/>
    <s v="Reglement honoraire du mois de Janvier 2025/P29"/>
    <s v="Personnel"/>
    <s v="Investigations"/>
    <n v="400000"/>
    <n v="670.92367739976817"/>
    <n v="596.19299999999998"/>
    <s v="BCI"/>
    <s v="BQ-J-R17"/>
    <s v="PALF"/>
    <x v="0"/>
    <s v="Congo"/>
    <m/>
    <m/>
    <m/>
  </r>
  <r>
    <x v="25"/>
    <s v="Reglement honoraire du mois de Janvier 2025/TIT87"/>
    <s v="Personnel"/>
    <s v="Investigations"/>
    <n v="255000"/>
    <n v="427.71384434235222"/>
    <n v="596.19299999999998"/>
    <s v="BCI"/>
    <s v="BQ-J-R18"/>
    <s v="PALF"/>
    <x v="0"/>
    <s v="Congo"/>
    <m/>
    <m/>
    <m/>
  </r>
  <r>
    <x v="26"/>
    <s v="Achat credit  teléphonique MTN/PALF/Première partie du mois de Février 2025/Management"/>
    <s v="Telephone"/>
    <s v="Management"/>
    <n v="42000"/>
    <n v="70.446986126975659"/>
    <n v="579.25099999999998"/>
    <s v="Merveille"/>
    <s v="CA-F-R1"/>
    <s v="PALF"/>
    <x v="1"/>
    <s v="Congo"/>
    <m/>
    <m/>
    <m/>
  </r>
  <r>
    <x v="26"/>
    <s v="Achat credit  teléphonique MTN/PALF/Première partie du mois de Février 2025/Legal"/>
    <s v="Telephone"/>
    <s v="Legal"/>
    <n v="74000"/>
    <n v="124.12088031895712"/>
    <n v="579.25099999999998"/>
    <s v="Merveille"/>
    <s v="CA-F-R2"/>
    <s v="PALF"/>
    <x v="1"/>
    <s v="Congo"/>
    <m/>
    <m/>
    <m/>
  </r>
  <r>
    <x v="26"/>
    <s v="Achat credit  teléphonique MTN/PALF/Première partie du mois de Février 2025/Investigation"/>
    <s v="Telephone"/>
    <s v="Investigations"/>
    <n v="88000"/>
    <n v="147.60320902794902"/>
    <n v="579.25099999999998"/>
    <s v="Merveille"/>
    <s v="CA-F-R3"/>
    <s v="PALF"/>
    <x v="1"/>
    <s v="Congo"/>
    <m/>
    <m/>
    <m/>
  </r>
  <r>
    <x v="26"/>
    <s v="Achat credit  teléphonique MTN/PALF/Première partie du mois de Février 2025/Media"/>
    <s v="Telephone"/>
    <s v="Media"/>
    <n v="10000"/>
    <n v="16.773091934994206"/>
    <n v="579.25099999999998"/>
    <s v="Merveille"/>
    <s v="CA-F-R4"/>
    <s v="PALF"/>
    <x v="1"/>
    <s v="Congo"/>
    <m/>
    <m/>
    <m/>
  </r>
  <r>
    <x v="26"/>
    <s v="Achat credit  teléphonique Airtel/PALF/Première partie du mois de Février 2025/Legal"/>
    <s v="Telephone"/>
    <s v="Legal"/>
    <n v="10000"/>
    <n v="16.773091934994206"/>
    <n v="579.25099999999998"/>
    <s v="Merveille"/>
    <s v="CA-F-R5"/>
    <s v="PALF"/>
    <x v="1"/>
    <s v="Congo"/>
    <m/>
    <m/>
    <m/>
  </r>
  <r>
    <x v="26"/>
    <s v="Achat credit  teléphonique Airtel/PALF/Première partie du mois de Février 2025/Investigation"/>
    <s v="Telephone"/>
    <s v="Investigations"/>
    <n v="16000"/>
    <n v="26.836947095990727"/>
    <n v="579.25099999999998"/>
    <s v="Merveille"/>
    <s v="CA-F-R6"/>
    <s v="PALF"/>
    <x v="1"/>
    <s v="Congo"/>
    <m/>
    <m/>
    <m/>
  </r>
  <r>
    <x v="26"/>
    <s v="Achat credit  teléphonique Airtel/PALF/Première partie du mois de Février 2025/Media"/>
    <s v="Telephone"/>
    <s v="Media"/>
    <n v="11000"/>
    <n v="18.450401128493628"/>
    <n v="579.25099999999998"/>
    <s v="Merveille"/>
    <s v="CA-F-R7"/>
    <s v="PALF"/>
    <x v="1"/>
    <s v="Congo"/>
    <m/>
    <m/>
    <m/>
  </r>
  <r>
    <x v="27"/>
    <s v="Achat  Billet  Brazzaville-Owando/Romain"/>
    <s v="Transport"/>
    <s v="Legal"/>
    <n v="7000"/>
    <n v="11.741164354495943"/>
    <n v="579.25099999999998"/>
    <s v="Romain"/>
    <s v="RM-F-R1"/>
    <s v="PALF"/>
    <x v="1"/>
    <s v="Congo"/>
    <m/>
    <m/>
    <m/>
  </r>
  <r>
    <x v="27"/>
    <s v="Frais de mission maitre Alain BANZOUZI du 05 au 07 Février 2025 à Owando suivi audience"/>
    <s v="Lawyer Fees"/>
    <s v="Legal"/>
    <n v="70000"/>
    <n v="117.41164354495943"/>
    <n v="579.25099999999998"/>
    <s v="Romain"/>
    <s v="CA-F-R8"/>
    <s v="PALF"/>
    <x v="1"/>
    <s v="Congo"/>
    <m/>
    <m/>
    <m/>
  </r>
  <r>
    <x v="27"/>
    <s v=" Achat billet Brazzaville- Owando/Roderlin"/>
    <s v="Transport"/>
    <s v="Legal"/>
    <n v="7000"/>
    <n v="11.741164354495943"/>
    <n v="579.25099999999998"/>
    <s v="Roderlin"/>
    <s v="RO-F-R1"/>
    <s v="PALF"/>
    <x v="1"/>
    <s v="Congo"/>
    <m/>
    <m/>
    <m/>
  </r>
  <r>
    <x v="27"/>
    <s v="Reglement Facture Gardiennage Mois de Janvier 2025/36564792"/>
    <s v="Services"/>
    <s v="Office"/>
    <n v="260000"/>
    <n v="436.10039030984933"/>
    <n v="579.25099999999998"/>
    <s v="BCI"/>
    <s v="BQ-F-R1"/>
    <s v="PALF"/>
    <x v="1"/>
    <s v="Congo"/>
    <m/>
    <m/>
    <m/>
  </r>
  <r>
    <x v="27"/>
    <s v="Achat billet Brazzaville - Makoua/ IT87"/>
    <s v="Transport"/>
    <s v="Investigations"/>
    <n v="9000"/>
    <n v="15.095782741494785"/>
    <n v="579.25099999999998"/>
    <s v="IT87"/>
    <s v="IT87-F-R1"/>
    <s v="PALF"/>
    <x v="1"/>
    <s v="Congo"/>
    <m/>
    <m/>
    <m/>
  </r>
  <r>
    <x v="28"/>
    <s v="Achat billet brazzaville-oyo/P29"/>
    <s v="Transport"/>
    <s v="Investigations"/>
    <n v="6000"/>
    <n v="10.063855160996523"/>
    <n v="579.25099999999998"/>
    <s v="P29"/>
    <s v="P29-F-R1"/>
    <s v="PALF"/>
    <x v="1"/>
    <s v="Congo"/>
    <m/>
    <m/>
    <m/>
  </r>
  <r>
    <x v="28"/>
    <s v="Achat eau mineral 16 LITRES/Bureau"/>
    <s v="Office Materials"/>
    <s v="Office"/>
    <n v="25000"/>
    <n v="41.93272983748551"/>
    <n v="579.25099999999998"/>
    <s v="Merveille"/>
    <s v="CA-F-R9"/>
    <s v="PALF"/>
    <x v="1"/>
    <s v="Congo"/>
    <m/>
    <m/>
    <m/>
  </r>
  <r>
    <x v="28"/>
    <s v="Achat produit d'entretien lait,sucre,javel,papier toilette,sucre,café/Bureau PALF"/>
    <s v="Office Materials"/>
    <s v="Office"/>
    <n v="63000"/>
    <n v="105.6704791904635"/>
    <n v="579.25099999999998"/>
    <s v="Merveille"/>
    <s v="CA-F-R10"/>
    <s v="PALF"/>
    <x v="1"/>
    <s v="Congo"/>
    <m/>
    <m/>
    <m/>
  </r>
  <r>
    <x v="28"/>
    <s v="P29 - CONGO Ration  du 05 au 28/02/2025 à Oyo,Tchikapika et Owando(23 Nuitées)"/>
    <s v="Travel Subsistence"/>
    <s v="Investigations"/>
    <n v="230000"/>
    <n v="385.78111450486671"/>
    <n v="579.25099999999998"/>
    <s v="P29"/>
    <s v="P29-F-D1"/>
    <s v="PALF"/>
    <x v="1"/>
    <s v="Congo"/>
    <m/>
    <m/>
    <m/>
  </r>
  <r>
    <x v="28"/>
    <s v="IT87 - CONGO Ration du 05 au 12/02/2025 à Makoua,etoumbi,Otende"/>
    <s v="Travel Subsistence"/>
    <s v="Investigations"/>
    <n v="70000"/>
    <n v="117.41164354495943"/>
    <n v="579.25099999999998"/>
    <s v="IT87"/>
    <s v="IT87-F-D1"/>
    <s v="PALF"/>
    <x v="1"/>
    <s v="Congo"/>
    <m/>
    <m/>
    <m/>
  </r>
  <r>
    <x v="28"/>
    <s v="Achat billet Makoua - Etoumbi/ IT87"/>
    <s v="Transport"/>
    <s v="Investigations"/>
    <n v="5000"/>
    <n v="8.3865459674971028"/>
    <n v="579.25099999999998"/>
    <s v="IT87"/>
    <s v="IT87-F-R1"/>
    <s v="PALF"/>
    <x v="1"/>
    <s v="Congo"/>
    <m/>
    <m/>
    <m/>
  </r>
  <r>
    <x v="28"/>
    <s v="ROMAIN-CONGO: Ration du 05 au 07/02/2025 à Owando"/>
    <s v="Travel Subsistence"/>
    <s v="Legal"/>
    <n v="20000"/>
    <n v="33.546183869988411"/>
    <n v="579.25099999999998"/>
    <s v="Romain"/>
    <s v="RM-F-D1"/>
    <s v="PALF"/>
    <x v="1"/>
    <s v="Congo"/>
    <m/>
    <m/>
    <m/>
  </r>
  <r>
    <x v="28"/>
    <s v="RODERLIN-CONGO Ration du 05 au 07/02/2025 à Owando (02 nuitées)"/>
    <s v="Travel Subsistence"/>
    <s v="Legal"/>
    <n v="20000"/>
    <n v="33.546183869988411"/>
    <n v="579.25099999999998"/>
    <s v="Roderlin"/>
    <s v="RO-F-D1"/>
    <s v="PALF"/>
    <x v="1"/>
    <s v="Congo"/>
    <m/>
    <m/>
    <m/>
  </r>
  <r>
    <x v="28"/>
    <s v="Reglement loyer du mois de Janvier 2025/3654789"/>
    <s v="Rent &amp; Utilities"/>
    <s v="Office"/>
    <n v="500000"/>
    <n v="838.65459674971032"/>
    <n v="579.25099999999998"/>
    <s v="BCI"/>
    <s v="BQ-F-R2"/>
    <s v="PALF"/>
    <x v="1"/>
    <s v="Congo"/>
    <m/>
    <m/>
    <m/>
  </r>
  <r>
    <x v="29"/>
    <s v="Achat billet : Brazzaville - Makoua/T73"/>
    <s v="Transport"/>
    <s v="Investigations"/>
    <n v="9000"/>
    <n v="15.095782741494785"/>
    <n v="579.25099999999998"/>
    <s v="T73"/>
    <s v="T73-F-R1"/>
    <s v="PALF"/>
    <x v="1"/>
    <s v="Congo"/>
    <m/>
    <m/>
    <m/>
  </r>
  <r>
    <x v="29"/>
    <s v="T73 - CONGO Ration du 06 au 28/12/2024 (22nuitées)à Makoua et Owando"/>
    <s v="Travel Subsistence"/>
    <s v="Investigations"/>
    <n v="190000"/>
    <n v="318.68874676488991"/>
    <n v="579.25099999999998"/>
    <s v="T73"/>
    <s v="T73-F-D1"/>
    <s v="PALF"/>
    <x v="1"/>
    <s v="Congo"/>
    <m/>
    <m/>
    <m/>
  </r>
  <r>
    <x v="29"/>
    <s v="Bonus media portant sur l'audience du 06 Février au TG1 d'Owando"/>
    <s v="Bonus to media officer"/>
    <s v="Media"/>
    <n v="148000"/>
    <n v="248.24176063791424"/>
    <n v="579.25099999999998"/>
    <s v="Evariste"/>
    <s v="CA-F-D1"/>
    <s v="PALF"/>
    <x v="1"/>
    <s v="Congo"/>
    <m/>
    <m/>
    <m/>
  </r>
  <r>
    <x v="30"/>
    <s v="Achat billet oyo-tchikapika/P29"/>
    <s v="Transport"/>
    <s v="Investigations"/>
    <n v="5000"/>
    <n v="8.3865459674971028"/>
    <n v="579.25099999999998"/>
    <s v="P29"/>
    <s v="P29-F-R2"/>
    <s v="PALF"/>
    <x v="1"/>
    <s v="Congo"/>
    <m/>
    <m/>
    <m/>
  </r>
  <r>
    <x v="30"/>
    <s v="P29 - CONGO Frais d'hotel du 05 au 07/02/2025 à oyo(02 Nuitées)"/>
    <s v="Travel Subsistence"/>
    <s v="Investigations"/>
    <n v="30000"/>
    <n v="50.319275804982617"/>
    <n v="579.25099999999998"/>
    <s v="P29"/>
    <s v="P29-F-R3"/>
    <s v="PALF"/>
    <x v="1"/>
    <s v="Congo"/>
    <m/>
    <m/>
    <m/>
  </r>
  <r>
    <x v="30"/>
    <s v="IT87 - CONGO Frais d'hôtel Akoua du 05 au 07/02/2025 à Etoumbi (02 nuitées)"/>
    <s v="Travel Subsistence"/>
    <s v="Investigations"/>
    <n v="30000"/>
    <n v="50.319275804982617"/>
    <n v="579.25099999999998"/>
    <s v="IT87"/>
    <s v="IT87-F-R1"/>
    <s v="PALF"/>
    <x v="1"/>
    <s v="Congo"/>
    <m/>
    <m/>
    <m/>
  </r>
  <r>
    <x v="30"/>
    <s v="Achat billet Etoumbi - Makoua/ IT87"/>
    <s v="Transport"/>
    <s v="Investigations"/>
    <n v="5000"/>
    <n v="8.3865459674971028"/>
    <n v="579.25099999999998"/>
    <s v="IT87"/>
    <s v="IT87-F-R2"/>
    <s v="PALF"/>
    <x v="1"/>
    <s v="Congo"/>
    <m/>
    <m/>
    <m/>
  </r>
  <r>
    <x v="30"/>
    <s v="Achat billet Makoua - Otende/ IT87"/>
    <s v="Transport"/>
    <s v="Investigations"/>
    <n v="4500"/>
    <n v="7.5478913707473927"/>
    <n v="579.25099999999998"/>
    <s v="IT87"/>
    <s v="IT87-F-R3"/>
    <s v="PALF"/>
    <x v="1"/>
    <s v="Congo"/>
    <m/>
    <m/>
    <m/>
  </r>
  <r>
    <x v="30"/>
    <s v="Achat billet retour Owando-Brazzaville/Romain"/>
    <s v="Transport"/>
    <s v="Legal"/>
    <n v="7000"/>
    <n v="11.741164354495943"/>
    <n v="579.25099999999998"/>
    <s v="Romain"/>
    <s v="RM-F-R2"/>
    <s v="PALF"/>
    <x v="1"/>
    <s v="Congo"/>
    <m/>
    <m/>
    <m/>
  </r>
  <r>
    <x v="30"/>
    <s v="ROMAIN - CONGO Frais d'hotel du 05 au 07/02/2025 à Owando(2 nuitées)"/>
    <s v="Travel Subsistence"/>
    <s v="Legal"/>
    <n v="30000"/>
    <n v="50.319275804982617"/>
    <n v="579.25099999999998"/>
    <s v="Romain"/>
    <s v="RM-F-R3"/>
    <s v="PALF"/>
    <x v="1"/>
    <s v="Congo"/>
    <m/>
    <m/>
    <m/>
  </r>
  <r>
    <x v="30"/>
    <s v="Achat billet Owando- Brazzaville /Roderlin"/>
    <s v="Transport"/>
    <s v="Legal"/>
    <n v="7000"/>
    <n v="11.741164354495943"/>
    <n v="579.25099999999998"/>
    <s v="Roderlin"/>
    <s v="RO-F-R2"/>
    <s v="PALF"/>
    <x v="1"/>
    <s v="Congo"/>
    <m/>
    <m/>
    <m/>
  </r>
  <r>
    <x v="30"/>
    <s v="RODERLIN-CONGO frais d'hôtel du 05 au 07/02/2025 à Owando (02 nuitées)"/>
    <s v="Travel Subsistence"/>
    <s v="Legal"/>
    <n v="30000"/>
    <n v="50.319275804982617"/>
    <n v="579.25099999999998"/>
    <s v="Roderlin"/>
    <s v="RO-F-R3"/>
    <s v="PALF"/>
    <x v="1"/>
    <s v="Congo"/>
    <m/>
    <m/>
    <m/>
  </r>
  <r>
    <x v="30"/>
    <s v="Frais de transfert d'argent à T73"/>
    <s v="Transfer Fees"/>
    <s v="Office"/>
    <n v="4830.0000000000009"/>
    <n v="8.1014034046022019"/>
    <n v="579.25099999999998"/>
    <s v="Abraham"/>
    <s v="CA-F-R11"/>
    <s v="PALF"/>
    <x v="1"/>
    <s v="Congo"/>
    <m/>
    <m/>
    <m/>
  </r>
  <r>
    <x v="30"/>
    <s v="Frais de transfert d'argent à P29 et IT87"/>
    <s v="Transfer Fees"/>
    <s v="Office"/>
    <n v="13615"/>
    <n v="22.180704562790044"/>
    <n v="579.25099999999998"/>
    <s v="Roderlin"/>
    <s v="CA-F-R32"/>
    <s v="PALF"/>
    <x v="1"/>
    <s v="Congo"/>
    <m/>
    <m/>
    <m/>
  </r>
  <r>
    <x v="31"/>
    <s v="Achat billet :Brazzaville -loudima /G12"/>
    <s v="Transport"/>
    <s v="Investigations"/>
    <n v="8000"/>
    <n v="13.418473547995363"/>
    <n v="579.25099999999998"/>
    <s v="G12"/>
    <s v="G12-F-R1"/>
    <s v="PALF"/>
    <x v="1"/>
    <s v="Congo"/>
    <m/>
    <m/>
    <m/>
  </r>
  <r>
    <x v="31"/>
    <s v="G12 - CONGO  Ration du 08 au 15 /02/2025(07 Nuitées)"/>
    <s v="Travel Subsistence"/>
    <s v="Investigations"/>
    <n v="70000"/>
    <n v="117.41164354495943"/>
    <n v="579.25099999999998"/>
    <s v="G12"/>
    <s v="G12-F-D1"/>
    <s v="PALF"/>
    <x v="1"/>
    <s v="Congo"/>
    <m/>
    <m/>
    <m/>
  </r>
  <r>
    <x v="31"/>
    <s v="Achat billet: Loudima - sibiti/G12"/>
    <s v="Transport"/>
    <s v="Investigations"/>
    <n v="4000"/>
    <n v="6.7092367739976817"/>
    <n v="579.25099999999998"/>
    <s v="G12"/>
    <s v="G12-F-R2"/>
    <s v="PALF"/>
    <x v="1"/>
    <s v="Congo"/>
    <m/>
    <m/>
    <m/>
  </r>
  <r>
    <x v="32"/>
    <s v="P29 -CONGO Frais d'hotel du 07 au 09/02/2025 à tchikapika(02 Nuitées)"/>
    <s v="Travel Subsistence"/>
    <s v="Investigations"/>
    <n v="30000"/>
    <n v="50.319275804982617"/>
    <n v="579.25099999999998"/>
    <s v="P29"/>
    <s v="P29-F-R4"/>
    <s v="PALF"/>
    <x v="1"/>
    <s v="Congo"/>
    <m/>
    <m/>
    <m/>
  </r>
  <r>
    <x v="32"/>
    <s v="Achat billet tchikapika-ombele/P29"/>
    <s v="Transport"/>
    <s v="Investigations"/>
    <n v="5000"/>
    <n v="8.3865459674971028"/>
    <n v="579.25099999999998"/>
    <s v="P29"/>
    <s v="P29-F-R5"/>
    <s v="PALF"/>
    <x v="1"/>
    <s v="Congo"/>
    <m/>
    <m/>
    <m/>
  </r>
  <r>
    <x v="32"/>
    <s v="Cumul frais de trust building du mois de Février 2025/P29"/>
    <s v="Trust Building"/>
    <s v="Investigations"/>
    <n v="39500"/>
    <n v="66.253713143227117"/>
    <n v="579.25099999999998"/>
    <s v="P29"/>
    <s v="P29-F-D2"/>
    <s v="PALF"/>
    <x v="1"/>
    <s v="Congo"/>
    <m/>
    <m/>
    <m/>
  </r>
  <r>
    <x v="32"/>
    <s v="IT87 - CONGOFrais d'hôtel le Pépin du 07 au 09/02/2025 à Otende (02 nuitées)"/>
    <s v="Travel Subsistence"/>
    <s v="Investigations"/>
    <n v="30000"/>
    <n v="50.319275804982617"/>
    <n v="579.25099999999998"/>
    <s v="IT87"/>
    <s v="IT87-F-R4"/>
    <s v="PALF"/>
    <x v="1"/>
    <s v="Congo"/>
    <m/>
    <m/>
    <m/>
  </r>
  <r>
    <x v="32"/>
    <s v="Achat billet Otende - Oyo/ IT87"/>
    <s v="Transport"/>
    <s v="Investigations"/>
    <n v="3000"/>
    <n v="5.0319275804982615"/>
    <n v="579.25099999999998"/>
    <s v="IT87"/>
    <s v="IT87-F-R5"/>
    <s v="PALF"/>
    <x v="1"/>
    <s v="Congo"/>
    <m/>
    <m/>
    <m/>
  </r>
  <r>
    <x v="33"/>
    <s v="P29 - CONGO Frais d'hotel du 09 au 10/02/2025 à ombele (01 Nuitée)"/>
    <s v="Travel Subsistence"/>
    <s v="Investigations"/>
    <n v="15000"/>
    <n v="25.159637902491308"/>
    <n v="579.25099999999998"/>
    <s v="P29"/>
    <s v="P29-F-R6"/>
    <s v="PALF"/>
    <x v="1"/>
    <s v="Congo"/>
    <m/>
    <m/>
    <m/>
  </r>
  <r>
    <x v="33"/>
    <s v="Achat billet ombele-owando/P29"/>
    <s v="Transport"/>
    <s v="Investigations"/>
    <n v="5000"/>
    <n v="8.3865459674971028"/>
    <n v="579.25099999999998"/>
    <s v="P29"/>
    <s v="P29-F-R7"/>
    <s v="PALF"/>
    <x v="1"/>
    <s v="Congo"/>
    <m/>
    <m/>
    <m/>
  </r>
  <r>
    <x v="33"/>
    <s v="T73 - CONGO Frais d'hotel du 06 au 10/02/2025 (04nuitées ) à Makoua"/>
    <s v="Travel Subsistence"/>
    <s v="Investigations"/>
    <n v="60000"/>
    <n v="100.63855160996523"/>
    <n v="579.25099999999998"/>
    <s v="T73"/>
    <s v="T73-F-R2"/>
    <s v="PALF"/>
    <x v="1"/>
    <s v="Congo"/>
    <m/>
    <m/>
    <m/>
  </r>
  <r>
    <x v="33"/>
    <s v="Achat billet : makoua - Owando/T73"/>
    <s v="Transport"/>
    <s v="Investigations"/>
    <n v="3000"/>
    <n v="5.0319275804982615"/>
    <n v="579.25099999999998"/>
    <s v="T73"/>
    <s v="T73-F-R4"/>
    <s v="PALF"/>
    <x v="1"/>
    <s v="Congo"/>
    <m/>
    <m/>
    <m/>
  </r>
  <r>
    <x v="33"/>
    <s v="Frais de transfert d'argent à G12"/>
    <s v="Transfer Fees"/>
    <s v="Office"/>
    <n v="4110"/>
    <n v="6.8937407852826187"/>
    <n v="579.25099999999998"/>
    <s v="Roderlin"/>
    <s v="CA-F-R12"/>
    <s v="PALF"/>
    <x v="1"/>
    <s v="Congo"/>
    <m/>
    <m/>
    <m/>
  </r>
  <r>
    <x v="34"/>
    <s v="Bonus du mois de Janvier 2025/Merveille"/>
    <s v="Personnel"/>
    <s v="Office"/>
    <n v="94430"/>
    <n v="158.38830714215027"/>
    <n v="579.25099999999998"/>
    <s v="Merveille"/>
    <s v="CA-F-D2"/>
    <s v="PALF"/>
    <x v="1"/>
    <s v="Congo"/>
    <m/>
    <m/>
    <m/>
  </r>
  <r>
    <x v="34"/>
    <s v="Bonus du mois de Janvier 2025/Crepin"/>
    <s v="Personnel"/>
    <s v="Legal"/>
    <n v="30000"/>
    <n v="50.319275804982617"/>
    <n v="579.25099999999998"/>
    <s v="Merveille"/>
    <s v="CA-F-D3"/>
    <s v="PALF"/>
    <x v="1"/>
    <s v="Congo"/>
    <m/>
    <m/>
    <m/>
  </r>
  <r>
    <x v="34"/>
    <s v="Bonus du mois de Janvier 2025/Romain"/>
    <s v="Personnel"/>
    <s v="Legal"/>
    <n v="30000"/>
    <n v="50.319275804982617"/>
    <n v="579.25099999999998"/>
    <s v="Merveille"/>
    <s v="CA-F-D4"/>
    <s v="PALF"/>
    <x v="1"/>
    <s v="Congo"/>
    <m/>
    <m/>
    <m/>
  </r>
  <r>
    <x v="34"/>
    <s v="Bonus du mois de Janvier 2025/Abraham"/>
    <s v="Personnel"/>
    <s v="Legal"/>
    <n v="30000"/>
    <n v="50.319275804982617"/>
    <n v="579.25099999999998"/>
    <s v="Merveille"/>
    <s v="CA-F-D5"/>
    <s v="PALF"/>
    <x v="1"/>
    <s v="Congo"/>
    <m/>
    <m/>
    <m/>
  </r>
  <r>
    <x v="34"/>
    <s v="Bonus du mois de Janvier 2025/Roderlin"/>
    <s v="Personnel"/>
    <s v="Legal"/>
    <n v="30000"/>
    <n v="50.319275804982617"/>
    <n v="579.25099999999998"/>
    <s v="Merveille"/>
    <s v="CA-F-D6"/>
    <s v="PALF"/>
    <x v="1"/>
    <s v="Congo"/>
    <m/>
    <m/>
    <m/>
  </r>
  <r>
    <x v="34"/>
    <s v="Bonus du mois de Janvier 2025/Evariste"/>
    <s v="Personnel"/>
    <s v="Media"/>
    <n v="30000"/>
    <n v="50.319275804982617"/>
    <n v="579.25099999999998"/>
    <s v="Merveille"/>
    <s v="CA-F-D7"/>
    <s v="PALF"/>
    <x v="1"/>
    <s v="Congo"/>
    <m/>
    <m/>
    <m/>
  </r>
  <r>
    <x v="34"/>
    <s v="Bonus opération du 15/01/2025 à Owando/Crepin"/>
    <s v="Bonus"/>
    <s v="Operations"/>
    <n v="35000"/>
    <n v="58.705821772479716"/>
    <n v="579.25099999999998"/>
    <s v="Merveille"/>
    <s v="CA-F-D8"/>
    <s v="PALF"/>
    <x v="1"/>
    <s v="Congo"/>
    <m/>
    <m/>
    <m/>
  </r>
  <r>
    <x v="34"/>
    <s v="Bonus opération du 15/01/2025 à Owando/Romain"/>
    <s v="Bonus"/>
    <s v="Operations"/>
    <n v="30000"/>
    <n v="50.319275804982617"/>
    <n v="579.25099999999998"/>
    <s v="Merveille"/>
    <s v="CA-F-D9"/>
    <s v="PALF"/>
    <x v="1"/>
    <s v="Congo"/>
    <m/>
    <m/>
    <m/>
  </r>
  <r>
    <x v="34"/>
    <s v="Bonus opération du 15/01/2025 à Owando/Abraham"/>
    <s v="Bonus"/>
    <s v="Operations"/>
    <n v="30000"/>
    <n v="50.319275804982617"/>
    <n v="579.25099999999998"/>
    <s v="Merveille"/>
    <s v="CA-F-D10"/>
    <s v="PALF"/>
    <x v="1"/>
    <s v="Congo"/>
    <m/>
    <m/>
    <m/>
  </r>
  <r>
    <x v="34"/>
    <s v="Bonus opération du 15/01/2025 à Owando/Evariste"/>
    <s v="Bonus"/>
    <s v="Operations"/>
    <n v="30000"/>
    <n v="50.319275804982617"/>
    <n v="579.25099999999998"/>
    <s v="Merveille"/>
    <s v="CA-F-D11"/>
    <s v="PALF"/>
    <x v="1"/>
    <s v="Congo"/>
    <m/>
    <m/>
    <m/>
  </r>
  <r>
    <x v="34"/>
    <s v="G12 Congo frais d'hotel du 08 au 11/02/2025   à sibiti (3 nuitées)"/>
    <s v="Travel Subsistence"/>
    <s v="Investigations"/>
    <n v="45000"/>
    <n v="75.478913707473922"/>
    <n v="579.25099999999998"/>
    <s v="G12"/>
    <s v="G12-F-R3"/>
    <s v="PALF"/>
    <x v="1"/>
    <s v="Congo"/>
    <m/>
    <m/>
    <m/>
  </r>
  <r>
    <x v="34"/>
    <s v="Achat billet sibiti - loudima /G12"/>
    <s v="Transport"/>
    <s v="Investigations"/>
    <n v="4000"/>
    <n v="6.7092367739976817"/>
    <n v="579.25099999999998"/>
    <s v="G12"/>
    <s v="G12-F-R4"/>
    <s v="PALF"/>
    <x v="1"/>
    <s v="Congo"/>
    <m/>
    <m/>
    <m/>
  </r>
  <r>
    <x v="34"/>
    <s v="Achat billet loudima -nkayi / G12"/>
    <s v="Transport"/>
    <s v="Investigations"/>
    <n v="3000"/>
    <n v="4.8874119492008914"/>
    <n v="613.82180000000005"/>
    <s v="G12"/>
    <s v="G12-F-R5"/>
    <s v="PALF"/>
    <x v="2"/>
    <s v="Congo"/>
    <m/>
    <m/>
    <m/>
  </r>
  <r>
    <x v="34"/>
    <s v="Achat billet Brazzaville-Owando(Trans bony)/Abraham"/>
    <s v="Transport"/>
    <s v="Legal"/>
    <n v="7000"/>
    <n v="11.403961214802081"/>
    <n v="613.82180000000005"/>
    <s v="Abraham"/>
    <s v="AB-F-R1"/>
    <s v="PALF"/>
    <x v="2"/>
    <s v="Congo"/>
    <m/>
    <m/>
    <m/>
  </r>
  <r>
    <x v="34"/>
    <s v="Frais de mission maitre Marie Helène NANITELAMION du 12 au 14 Février 2025 à Owando suivi audience"/>
    <s v="Lawyer Fees"/>
    <s v="Legal"/>
    <n v="70000"/>
    <n v="117.41164354495943"/>
    <n v="579.25099999999998"/>
    <s v="Abraham"/>
    <s v="CA-F-R13"/>
    <s v="PALF"/>
    <x v="1"/>
    <s v="Congo"/>
    <m/>
    <m/>
    <m/>
  </r>
  <r>
    <x v="34"/>
    <s v="Solde honoraire contrat n°81 Owando cas Monick/ Maître BANZOUZI Alain/3654800"/>
    <s v="Lawyer Fees"/>
    <s v="Legal"/>
    <n v="200000"/>
    <n v="335.46183869988408"/>
    <n v="579.25099999999998"/>
    <s v="BCI"/>
    <s v="BQ-F-R3"/>
    <s v="PALF"/>
    <x v="1"/>
    <s v="Congo"/>
    <m/>
    <m/>
    <m/>
  </r>
  <r>
    <x v="34"/>
    <s v="Frais de transfert d'argent à P29"/>
    <s v="Transfer Fees"/>
    <s v="Office"/>
    <n v="6720"/>
    <n v="11.271517780316106"/>
    <n v="596.19299999999998"/>
    <s v="Roderlin"/>
    <s v="CA-F-R14"/>
    <s v="PALF"/>
    <x v="0"/>
    <s v="Congo"/>
    <m/>
    <m/>
    <m/>
  </r>
  <r>
    <x v="35"/>
    <s v="IT87 - CONGO Frais d'hôtel Saint Benoît du 09 au 12/02/2025 à Oyo (03 nuitées)"/>
    <s v="Travel Subsistence"/>
    <s v="Investigations"/>
    <n v="45000"/>
    <n v="75.478913707473922"/>
    <n v="596.19299999999998"/>
    <s v="IT87"/>
    <s v="IT87-F-R6"/>
    <s v="PALF"/>
    <x v="0"/>
    <s v="Congo"/>
    <m/>
    <m/>
    <m/>
  </r>
  <r>
    <x v="35"/>
    <s v="Achat billet Oyo - Brazzaville/ IT87"/>
    <s v="Transport"/>
    <s v="Investigations"/>
    <n v="7000"/>
    <n v="11.741164354495943"/>
    <n v="596.19299999999998"/>
    <s v="IT87"/>
    <s v="IT87-F-R6"/>
    <s v="PALF"/>
    <x v="0"/>
    <s v="Congo"/>
    <m/>
    <m/>
    <m/>
  </r>
  <r>
    <x v="35"/>
    <s v="ABRAHAM - CONGO food allowance du 12/02 au 01/03/2025 à Owando (02 Nuitées)"/>
    <s v="Travel Subsistence"/>
    <s v="Legal"/>
    <n v="170000"/>
    <n v="285.14256289490152"/>
    <n v="596.19299999999998"/>
    <s v="Abraham"/>
    <s v="AB-F-D1"/>
    <s v="PALF"/>
    <x v="0"/>
    <s v="Congo"/>
    <m/>
    <m/>
    <m/>
  </r>
  <r>
    <x v="35"/>
    <s v="Achat billet Brazzaville- Loudima/Roderlin"/>
    <s v="Transport"/>
    <s v="Legal"/>
    <n v="8000"/>
    <n v="13.418473547995363"/>
    <n v="596.19299999999998"/>
    <s v="Roderlin"/>
    <s v="RO-F-R4"/>
    <s v="PALF"/>
    <x v="0"/>
    <s v="Congo"/>
    <m/>
    <m/>
    <m/>
  </r>
  <r>
    <x v="35"/>
    <s v="Frais de transfert d'argent à T73"/>
    <s v="Transfer Fees"/>
    <s v="Office"/>
    <n v="1980"/>
    <n v="3.3210722031288529"/>
    <n v="596.19299999999998"/>
    <s v="Roderlin"/>
    <s v="CA-F-R15"/>
    <s v="PALF"/>
    <x v="0"/>
    <s v="Congo"/>
    <m/>
    <m/>
    <m/>
  </r>
  <r>
    <x v="35"/>
    <s v="Frais de mission maitre Alain BANZOUZI du 13 au 15 Février 2025 à Sibiti/suivi audience"/>
    <s v="Lawyer Fees"/>
    <s v="Legal"/>
    <n v="80000"/>
    <n v="134.18473547995364"/>
    <n v="596.19299999999998"/>
    <s v="Roderlin"/>
    <s v="CA-F-R16"/>
    <s v="PALF"/>
    <x v="0"/>
    <s v="Congo"/>
    <m/>
    <m/>
    <m/>
  </r>
  <r>
    <x v="36"/>
    <s v="Paiment assurance DOVI/Assistance Evacuation"/>
    <s v="Personnel"/>
    <s v="Management"/>
    <n v="129464"/>
    <n v="217.15115742720897"/>
    <n v="596.19299999999998"/>
    <s v="Merveille"/>
    <s v="CA-F-R17"/>
    <s v="PALF"/>
    <x v="0"/>
    <s v="Congo"/>
    <m/>
    <m/>
    <m/>
  </r>
  <r>
    <x v="36"/>
    <s v="Paiment assurance DOVI/Individuelle Accidents Corporels"/>
    <s v="Personnel"/>
    <s v="Management"/>
    <n v="80500"/>
    <n v="135.02339007670335"/>
    <n v="596.19299999999998"/>
    <s v="Merveille"/>
    <s v="CA-F-R18"/>
    <s v="PALF"/>
    <x v="0"/>
    <s v="Congo"/>
    <m/>
    <m/>
    <m/>
  </r>
  <r>
    <x v="36"/>
    <s v="G12-CONGO  frais d'hotel du 11 au 13 /02 / 2025 à nkayi (2nuitées)"/>
    <s v="Travel Subsistence"/>
    <s v="Investigations"/>
    <n v="30000"/>
    <n v="50.319275804982617"/>
    <n v="596.19299999999998"/>
    <s v="G12"/>
    <s v="G12-F-R6"/>
    <s v="PALF"/>
    <x v="0"/>
    <s v="Congo"/>
    <m/>
    <m/>
    <m/>
  </r>
  <r>
    <x v="36"/>
    <s v="Achat billet nkayi - madingou/G12"/>
    <s v="Transport"/>
    <s v="Investigations"/>
    <n v="3000"/>
    <n v="5.0319275804982615"/>
    <n v="596.19299999999998"/>
    <s v="G12"/>
    <s v="G12-F-R7"/>
    <s v="PALF"/>
    <x v="0"/>
    <s v="Congo"/>
    <m/>
    <m/>
    <m/>
  </r>
  <r>
    <x v="36"/>
    <s v="RODERLIN-CONGO Ration du 13 au 15/02/2025 à Sibiti (02 nuitées)"/>
    <s v="Travel Subsistence"/>
    <s v="Legal"/>
    <n v="20000"/>
    <n v="32.582746328005946"/>
    <n v="613.82180000000005"/>
    <s v="Roderlin"/>
    <s v="RO-F-D2"/>
    <s v="PALF"/>
    <x v="2"/>
    <s v="Congo"/>
    <m/>
    <m/>
    <m/>
  </r>
  <r>
    <x v="36"/>
    <s v="Bonus media portant sur la journée mondiale du Pangolin"/>
    <s v="Bonus to media officer"/>
    <s v="Media"/>
    <n v="154000"/>
    <n v="250.88714672564575"/>
    <n v="613.82180000000005"/>
    <s v="Evariste"/>
    <s v="CA-F-D12"/>
    <s v="PALF"/>
    <x v="2"/>
    <s v="Congo"/>
    <m/>
    <m/>
    <m/>
  </r>
  <r>
    <x v="36"/>
    <s v="Reglement frais d'assurance multi risque/Bureau PALF"/>
    <s v="Services"/>
    <s v="Office"/>
    <n v="227686"/>
    <n v="381.89982103110907"/>
    <n v="596.19299999999998"/>
    <s v="BCI"/>
    <s v="BQ-F-R4"/>
    <s v="PALF"/>
    <x v="0"/>
    <s v="Congo"/>
    <m/>
    <m/>
    <m/>
  </r>
  <r>
    <x v="36"/>
    <s v="Achat billet Loudima - Sibiti/Roderlin"/>
    <s v="Transport"/>
    <s v="Legal"/>
    <n v="4000"/>
    <n v="6.7092367739976817"/>
    <n v="579.25099999999998"/>
    <s v="Roderlin"/>
    <s v="RO-F-R6"/>
    <s v="PALF"/>
    <x v="1"/>
    <s v="Congo"/>
    <m/>
    <m/>
    <m/>
  </r>
  <r>
    <x v="37"/>
    <s v="Fonds envoyé à un informateur en RDC pour des informations"/>
    <s v="Trust Building"/>
    <s v="Investigations"/>
    <n v="30000"/>
    <n v="50.319275804982617"/>
    <n v="596.19299999999998"/>
    <s v="DOVI"/>
    <s v="DH-F-R1"/>
    <s v="PALF"/>
    <x v="0"/>
    <s v="Congo"/>
    <m/>
    <m/>
    <m/>
  </r>
  <r>
    <x v="37"/>
    <s v="Frais de transfert d'argent par western union à l'informateur"/>
    <s v="Transfer Fees"/>
    <s v="Office"/>
    <n v="1952"/>
    <n v="3.2741075457108688"/>
    <n v="596.19299999999998"/>
    <s v="DOVI"/>
    <s v="DH-F-R2"/>
    <s v="PALF"/>
    <x v="0"/>
    <s v="Congo"/>
    <m/>
    <m/>
    <m/>
  </r>
  <r>
    <x v="37"/>
    <s v="Achat billet Brazzaville-Owando/DOVI"/>
    <s v="Transport"/>
    <s v="Management"/>
    <n v="7000"/>
    <n v="11.403961214802081"/>
    <n v="613.82180000000005"/>
    <s v="DOVI"/>
    <s v="DH-F-R3"/>
    <s v="PALF"/>
    <x v="2"/>
    <s v="Congo"/>
    <m/>
    <m/>
    <m/>
  </r>
  <r>
    <x v="37"/>
    <s v="Billet: Brazzaville-Owando/Crepin"/>
    <s v="Transport"/>
    <s v="Legal"/>
    <n v="7000"/>
    <n v="11.403961214802081"/>
    <n v="613.82180000000005"/>
    <s v="Crépin"/>
    <s v="CR-F-R1"/>
    <s v="PALF"/>
    <x v="2"/>
    <s v="Congo"/>
    <m/>
    <m/>
    <m/>
  </r>
  <r>
    <x v="37"/>
    <s v="Achat credit  teléphonique MTN/PALF/Deuxième partie du mois de Février 2025/Management"/>
    <s v="Telephone"/>
    <s v="Management"/>
    <n v="30000"/>
    <n v="48.874119492008916"/>
    <n v="613.82180000000005"/>
    <s v="Merveille"/>
    <s v="CA-F-R20"/>
    <s v="PALF"/>
    <x v="2"/>
    <s v="Congo"/>
    <m/>
    <m/>
    <m/>
  </r>
  <r>
    <x v="37"/>
    <s v="Achat credit  teléphonique MTN/PALF/Deuxième partie du mois de Février 2025/Legal"/>
    <s v="Telephone"/>
    <s v="Legal"/>
    <n v="30000"/>
    <n v="48.874119492008916"/>
    <n v="613.82180000000005"/>
    <s v="Merveille"/>
    <s v="CA-F-R21"/>
    <s v="PALF"/>
    <x v="2"/>
    <s v="Congo"/>
    <m/>
    <m/>
    <m/>
  </r>
  <r>
    <x v="37"/>
    <s v="Achat credit  teléphonique MTN/PALF/Deuxième partie du mois de Février 2025/Investigation"/>
    <s v="Telephone"/>
    <s v="Investigations"/>
    <n v="55000"/>
    <n v="94.950186542589222"/>
    <n v="579.25099999999998"/>
    <s v="Merveille"/>
    <s v="CA-F-R22"/>
    <s v="PALF"/>
    <x v="1"/>
    <s v="Congo"/>
    <m/>
    <m/>
    <m/>
  </r>
  <r>
    <x v="37"/>
    <s v="Achat credit  teléphonique MTN/PALF/Deuxième partie du mois de Février 2025/Media"/>
    <s v="Telephone"/>
    <s v="Media"/>
    <n v="10000"/>
    <n v="16.291373164002973"/>
    <n v="613.82180000000005"/>
    <s v="Merveille"/>
    <s v="CA-F-R23"/>
    <s v="PALF"/>
    <x v="2"/>
    <s v="Congo"/>
    <m/>
    <m/>
    <m/>
  </r>
  <r>
    <x v="37"/>
    <s v="Achat credit  teléphonique Airtel/PALF/Deuxième partie du mois de Février 2025/Legal"/>
    <s v="Telephone"/>
    <s v="Legal"/>
    <n v="10000"/>
    <n v="16.291373164002973"/>
    <n v="613.82180000000005"/>
    <s v="Merveille"/>
    <s v="CA-F-R24"/>
    <s v="PALF"/>
    <x v="2"/>
    <s v="Congo"/>
    <m/>
    <m/>
    <m/>
  </r>
  <r>
    <x v="37"/>
    <s v="Achat credit  teléphonique Airtel/PALF/Deuxième partie du mois de Février 2025/Investigation"/>
    <s v="Telephone"/>
    <s v="Investigations"/>
    <n v="5000"/>
    <n v="8.1456865820014865"/>
    <n v="613.82180000000005"/>
    <s v="Merveille"/>
    <s v="CA-F-R25"/>
    <s v="PALF"/>
    <x v="2"/>
    <s v="Congo"/>
    <m/>
    <m/>
    <m/>
  </r>
  <r>
    <x v="37"/>
    <s v="Frais de transfert d'argent à T73,P29 et Abraham"/>
    <s v="Transfer Fees"/>
    <s v="Office"/>
    <n v="11310"/>
    <n v="18.425543048487359"/>
    <n v="613.82180000000005"/>
    <s v="Parfaite"/>
    <s v="CA-F-R19"/>
    <s v="PALF"/>
    <x v="2"/>
    <s v="Congo"/>
    <m/>
    <m/>
    <m/>
  </r>
  <r>
    <x v="37"/>
    <s v="Cumul frais de trust building du mois de Février 2025/G12"/>
    <s v="Trust Building"/>
    <s v="Investigations"/>
    <n v="4000"/>
    <n v="6.5165492656011885"/>
    <n v="613.82180000000005"/>
    <s v="G12"/>
    <s v="G12-F-D2"/>
    <s v="PALF"/>
    <x v="2"/>
    <s v="Congo"/>
    <m/>
    <m/>
    <m/>
  </r>
  <r>
    <x v="37"/>
    <s v="Achat billet Madingou - brazzaville/G12"/>
    <s v="Transport"/>
    <s v="Investigations"/>
    <n v="7000"/>
    <n v="11.403961214802081"/>
    <n v="613.82180000000005"/>
    <s v="G12"/>
    <s v="G12-F-R8"/>
    <s v="PALF"/>
    <x v="2"/>
    <s v="Congo"/>
    <m/>
    <m/>
    <m/>
  </r>
  <r>
    <x v="37"/>
    <s v="Achat Billet Brazzaville-Owando/Romain"/>
    <s v="Transport"/>
    <s v="Legal"/>
    <n v="7000"/>
    <n v="11.403961214802081"/>
    <n v="613.82180000000005"/>
    <s v="Romain"/>
    <s v="RM-F-R4"/>
    <s v="PALF"/>
    <x v="2"/>
    <s v="Congo"/>
    <m/>
    <m/>
    <m/>
  </r>
  <r>
    <x v="37"/>
    <s v="Achat billet, Brazzaville-Owando/Evariste"/>
    <s v="Transport"/>
    <s v="Media"/>
    <n v="7000"/>
    <n v="11.403961214802081"/>
    <n v="613.82180000000005"/>
    <s v="Evariste"/>
    <s v="EV-F-R1"/>
    <s v="PALF"/>
    <x v="2"/>
    <s v="Congo"/>
    <m/>
    <m/>
    <m/>
  </r>
  <r>
    <x v="37"/>
    <s v="Cumul frais de jail visits du mois de Février 2025/Roderlin"/>
    <s v="Jail visit"/>
    <s v="Operations"/>
    <n v="20000"/>
    <n v="32.582746328005946"/>
    <n v="613.82180000000005"/>
    <s v="Roderlin"/>
    <s v="RO-F-D3"/>
    <s v="PALF"/>
    <x v="2"/>
    <s v="Congo"/>
    <m/>
    <m/>
    <m/>
  </r>
  <r>
    <x v="37"/>
    <s v="Achat billet Brazzaville - Madingou/ IT87"/>
    <s v="Transport"/>
    <s v="Investigations"/>
    <n v="7000"/>
    <n v="11.403961214802081"/>
    <n v="613.82180000000005"/>
    <s v="IT87"/>
    <s v="IT87-F-R7"/>
    <s v="PALF"/>
    <x v="2"/>
    <s v="Congo"/>
    <m/>
    <m/>
    <m/>
  </r>
  <r>
    <x v="38"/>
    <s v="DOVI -CONGO Ration du 15 Février 2025 au 25 Février 2025 soit 10 nuitées"/>
    <s v="Travel Subsistence"/>
    <s v="Management"/>
    <n v="100000"/>
    <n v="162.91373164002971"/>
    <n v="613.82180000000005"/>
    <s v="DOVI"/>
    <s v="DH-F-D1"/>
    <s v="PALF"/>
    <x v="2"/>
    <s v="Congo"/>
    <m/>
    <m/>
    <m/>
  </r>
  <r>
    <x v="38"/>
    <s v="CREPIN - CONGO Ration du 15/02/ au 05/03/2025 à Owando (18 nuitées)"/>
    <s v="Travel Subsistence"/>
    <s v="Legal"/>
    <n v="180000"/>
    <n v="293.24471695205347"/>
    <n v="613.82180000000005"/>
    <s v="Crépin"/>
    <s v="CR-F-D1"/>
    <s v="PALF"/>
    <x v="2"/>
    <s v="Congo"/>
    <m/>
    <m/>
    <m/>
  </r>
  <r>
    <x v="38"/>
    <s v="IT87 - CONGO Ration du 15 au 22/02/2025 à Madingou, Mouyondzi et Loutété"/>
    <s v="Travel Subsistence"/>
    <s v="Investigations"/>
    <n v="70000"/>
    <n v="114.03961214802079"/>
    <n v="613.82180000000005"/>
    <s v="IT87"/>
    <s v="IT87-F-D2"/>
    <s v="PALF"/>
    <x v="2"/>
    <s v="Congo"/>
    <m/>
    <m/>
    <m/>
  </r>
  <r>
    <x v="38"/>
    <s v="G12 CONGO frais d'hotel du 13 au 15 /02/2025(02 Nuitées)"/>
    <s v="Travel Subsistence"/>
    <s v="Investigations"/>
    <n v="30000"/>
    <n v="48.874119492008916"/>
    <n v="613.82180000000005"/>
    <s v="G12"/>
    <s v="G12-F-R9"/>
    <s v="PALF"/>
    <x v="2"/>
    <s v="Congo"/>
    <m/>
    <m/>
    <m/>
  </r>
  <r>
    <x v="38"/>
    <s v="ROMAIN - CONGO Ration du 15/02/ au 04/03/2025 à Owando(14 Nuitées)"/>
    <s v="Travel Subsistence"/>
    <s v="Legal"/>
    <n v="170000"/>
    <n v="276.95334378805052"/>
    <n v="613.82180000000005"/>
    <s v="Romain"/>
    <s v="RM-F-D2"/>
    <s v="PALF"/>
    <x v="2"/>
    <s v="Congo"/>
    <m/>
    <m/>
    <m/>
  </r>
  <r>
    <x v="38"/>
    <s v="ABRAHAM - CONGO frais d'Hôtel (Hôtel Case Mbali) du 12 au 15/02/2025 Owando (03Nuitées)"/>
    <s v="Travel Subsistence"/>
    <s v="Legal"/>
    <n v="45000"/>
    <n v="73.311179238013366"/>
    <n v="613.82180000000005"/>
    <s v="Abraham"/>
    <s v="AB-F-R2"/>
    <s v="PALF"/>
    <x v="2"/>
    <s v="Congo"/>
    <m/>
    <m/>
    <m/>
  </r>
  <r>
    <x v="38"/>
    <s v="RODERLIN-CONGO frais d'hôtel du 13 au 15/02/2025 à Sibiti (02 nuitées)"/>
    <s v="Travel Subsistence"/>
    <s v="Legal"/>
    <n v="30000"/>
    <n v="48.874119492008916"/>
    <n v="613.82180000000005"/>
    <s v="Roderlin"/>
    <s v="RO-F-R5"/>
    <s v="PALF"/>
    <x v="2"/>
    <s v="Congo"/>
    <m/>
    <m/>
    <m/>
  </r>
  <r>
    <x v="38"/>
    <s v="Taxi: Sibiti-Loudima /Roderlin"/>
    <s v="Transport"/>
    <s v="Legal"/>
    <n v="4000"/>
    <n v="6.5165492656011885"/>
    <n v="613.82180000000005"/>
    <s v="Roderlin"/>
    <s v="RO-F-R7"/>
    <s v="PALF"/>
    <x v="2"/>
    <s v="Congo"/>
    <m/>
    <m/>
    <m/>
  </r>
  <r>
    <x v="38"/>
    <s v="EVARISTE - CONGO Ration du 15 au 28 février 2025, mission d'Owando (13 nuitées)"/>
    <s v="Travel Subsistence"/>
    <s v="Media"/>
    <n v="130000"/>
    <n v="211.78785113203864"/>
    <n v="613.82180000000005"/>
    <s v="Evariste"/>
    <s v="EV-F-D1"/>
    <s v="PALF"/>
    <x v="2"/>
    <s v="Congo"/>
    <m/>
    <m/>
    <m/>
  </r>
  <r>
    <x v="38"/>
    <s v="Achat billet Loudima-Brazzaville /Roderlin"/>
    <s v="Transport"/>
    <s v="Legal"/>
    <n v="7000"/>
    <n v="11.403961214802081"/>
    <n v="613.82180000000005"/>
    <s v="Roderlin"/>
    <s v="RO-F-R8"/>
    <s v="PALF"/>
    <x v="2"/>
    <s v="Congo"/>
    <m/>
    <m/>
    <m/>
  </r>
  <r>
    <x v="39"/>
    <s v="Achat credit téléphonique pour P29/Appel trust à l'international"/>
    <s v="Telephone"/>
    <s v="Investigations"/>
    <n v="15000"/>
    <n v="24.437059746004458"/>
    <n v="613.82180000000005"/>
    <s v="Merveille"/>
    <s v="CA-F-R26"/>
    <s v="PALF"/>
    <x v="2"/>
    <s v="Congo"/>
    <m/>
    <m/>
    <m/>
  </r>
  <r>
    <x v="40"/>
    <s v="Frais de transfert d'argent à Crepin"/>
    <s v="Transfer Fees"/>
    <s v="Office"/>
    <n v="9000"/>
    <n v="14.662235847602675"/>
    <n v="613.82180000000005"/>
    <s v="Parfaite"/>
    <s v="CA-F-R27"/>
    <s v="PALF"/>
    <x v="2"/>
    <s v="Congo"/>
    <m/>
    <m/>
    <m/>
  </r>
  <r>
    <x v="40"/>
    <s v="IT87 - CONGO Frais d'hôtel Dzongo Bénoît du 15 au 18/02/2025 à Madingou (03 nuitées)"/>
    <s v="Travel Subsistence"/>
    <s v="Investigations"/>
    <n v="45000"/>
    <n v="73.311179238013366"/>
    <n v="613.82180000000005"/>
    <s v="IT87"/>
    <s v="IT87-F-R8"/>
    <s v="PALF"/>
    <x v="2"/>
    <s v="Congo"/>
    <m/>
    <m/>
    <m/>
  </r>
  <r>
    <x v="40"/>
    <s v="Achat billet Madingou - Mouyondzi/ IT87"/>
    <s v="Transport"/>
    <s v="Investigations"/>
    <n v="4000"/>
    <n v="6.5165492656011885"/>
    <n v="613.82180000000005"/>
    <s v="IT87"/>
    <s v="IT87-F-R9"/>
    <s v="PALF"/>
    <x v="2"/>
    <s v="Congo"/>
    <m/>
    <m/>
    <m/>
  </r>
  <r>
    <x v="40"/>
    <s v="Frais de mission maitre BANZOUZI à Owando du 19 au 21/02/205 suivi audience cas MONICK"/>
    <s v="Lawyer Fees"/>
    <s v="Legal"/>
    <n v="70000"/>
    <n v="114.03961214802079"/>
    <n v="613.82180000000005"/>
    <s v="Roderlin"/>
    <s v="CA-F-R28"/>
    <s v="PALF"/>
    <x v="2"/>
    <s v="Congo"/>
    <m/>
    <m/>
    <m/>
  </r>
  <r>
    <x v="41"/>
    <s v="Fonds envoyé à un informateur  en RDC pour des informations"/>
    <s v="Trust Building"/>
    <s v="Investigations"/>
    <n v="30000"/>
    <n v="48.874119492008916"/>
    <n v="613.82180000000005"/>
    <s v="Merveille"/>
    <s v="CA-F-R29"/>
    <s v="PALF"/>
    <x v="2"/>
    <s v="Congo"/>
    <m/>
    <m/>
    <m/>
  </r>
  <r>
    <x v="41"/>
    <s v="Frais de transfert bonus à informateur"/>
    <s v="Transfer Fees"/>
    <s v="Office"/>
    <n v="1952"/>
    <n v="3.3698684387478939"/>
    <n v="579.25099999999998"/>
    <s v="Merveille"/>
    <s v="CA-F-R30"/>
    <s v="PALF"/>
    <x v="1"/>
    <s v="Congo"/>
    <m/>
    <m/>
    <m/>
  </r>
  <r>
    <x v="41"/>
    <s v="Frais de transfert d'argent à Abraham"/>
    <s v="Transfer Fees"/>
    <s v="Office"/>
    <n v="14250"/>
    <n v="23.215206758704234"/>
    <n v="613.82180000000005"/>
    <s v="Parfaite"/>
    <s v="CA-F-R31"/>
    <s v="PALF"/>
    <x v="2"/>
    <s v="Congo"/>
    <m/>
    <m/>
    <m/>
  </r>
  <r>
    <x v="42"/>
    <s v="IT87 - CONGO Frais d'hôtel DZA MATSAKA du 18 au 20/02/2025 à Mouyondzi (02 nuitées)"/>
    <s v="Travel Subsistence"/>
    <s v="Investigations"/>
    <n v="30000"/>
    <n v="48.874119492008916"/>
    <n v="613.82180000000005"/>
    <s v="IT87"/>
    <s v="IT87-F-R10"/>
    <s v="PALF"/>
    <x v="2"/>
    <s v="Congo"/>
    <m/>
    <m/>
    <m/>
  </r>
  <r>
    <x v="42"/>
    <s v="Achat billet Mouyondzi - Loutété/ IT87"/>
    <s v="Transport"/>
    <s v="Investigations"/>
    <n v="4000"/>
    <n v="6.5165492656011885"/>
    <n v="613.82180000000005"/>
    <s v="IT87"/>
    <s v="IT87-F-R11"/>
    <s v="PALF"/>
    <x v="2"/>
    <s v="Congo"/>
    <m/>
    <m/>
    <m/>
  </r>
  <r>
    <x v="42"/>
    <s v="ABRAHAM - CONGO frais d'Hôtel  du 15au 20/02/2025 Owando (05Nuitées)"/>
    <s v="Travel Subsistence"/>
    <s v="Legal"/>
    <n v="75000"/>
    <n v="122.18529873002228"/>
    <n v="613.82180000000005"/>
    <s v="Abraham"/>
    <s v="AB-F-R5"/>
    <s v="PALF"/>
    <x v="2"/>
    <s v="Congo"/>
    <m/>
    <m/>
    <m/>
  </r>
  <r>
    <x v="43"/>
    <s v="Frais de transfert d'argent à T73,P29 et Abraham"/>
    <s v="Transfer Fees"/>
    <s v="Office"/>
    <n v="14700"/>
    <n v="23.94831855108437"/>
    <n v="613.82180000000005"/>
    <s v="Roderlin"/>
    <s v="CA-F-R43"/>
    <s v="PALF"/>
    <x v="2"/>
    <s v="Congo"/>
    <m/>
    <m/>
    <m/>
  </r>
  <r>
    <x v="44"/>
    <s v="CREPIN - CONGO Hébergement à l'hôtel Essebo d'Owando, 07 Nuitées du 15 au 22/02/2025"/>
    <s v="Travel Subsistence"/>
    <s v="Legal"/>
    <n v="105000"/>
    <n v="171.05941822203121"/>
    <n v="613.82180000000005"/>
    <s v="Crépin"/>
    <s v="CR-F-R2"/>
    <s v="PALF"/>
    <x v="2"/>
    <s v="Congo"/>
    <m/>
    <m/>
    <m/>
  </r>
  <r>
    <x v="44"/>
    <s v="T73 - CONGO Frais d'hotel du 10 au 22/02/2025 (12 nuitées ) à Owando"/>
    <s v="Travel Subsistence"/>
    <s v="Investigations"/>
    <n v="180000"/>
    <n v="293.24471695205347"/>
    <n v="613.82180000000005"/>
    <s v="T73"/>
    <s v="T73-F-R5"/>
    <s v="PALF"/>
    <x v="2"/>
    <s v="Congo"/>
    <m/>
    <m/>
    <m/>
  </r>
  <r>
    <x v="44"/>
    <s v="IT87 - CONGO Frais d'hôtel Clair Matin du 20 au 22/02/2025 à Loutété (02 nuitées)"/>
    <s v="Travel Subsistence"/>
    <s v="Investigations"/>
    <n v="30000"/>
    <n v="48.874119492008916"/>
    <n v="613.82180000000005"/>
    <s v="IT87"/>
    <s v="IT87-F-R12"/>
    <s v="PALF"/>
    <x v="2"/>
    <s v="Congo"/>
    <m/>
    <m/>
    <m/>
  </r>
  <r>
    <x v="44"/>
    <s v="Achat billet Loutété - Brazzaville/ IT87"/>
    <s v="Transport"/>
    <s v="Investigations"/>
    <n v="7000"/>
    <n v="11.403961214802081"/>
    <n v="613.82180000000005"/>
    <s v="IT87"/>
    <s v="IT87-F-R13"/>
    <s v="PALF"/>
    <x v="2"/>
    <s v="Congo"/>
    <m/>
    <m/>
    <m/>
  </r>
  <r>
    <x v="45"/>
    <s v="Cumul frais de trust building du mois de Février 2025/T73"/>
    <s v="Trust Building"/>
    <s v="Investigations"/>
    <n v="68000"/>
    <n v="110.7813375152202"/>
    <n v="613.82180000000005"/>
    <s v="T73"/>
    <s v="T73-F-D2"/>
    <s v="PALF"/>
    <x v="2"/>
    <s v="Congo"/>
    <m/>
    <m/>
    <m/>
  </r>
  <r>
    <x v="46"/>
    <s v="Plats et raffraichissements"/>
    <s v="Travel Subsistence"/>
    <s v="Operations"/>
    <n v="10500"/>
    <n v="17.105941822203121"/>
    <n v="613.82180000000005"/>
    <s v="Crépin"/>
    <s v="CR-F-R3"/>
    <s v="PALF"/>
    <x v="2"/>
    <s v="Congo"/>
    <m/>
    <m/>
    <m/>
  </r>
  <r>
    <x v="46"/>
    <s v="01 bidon d'eau de 10 litres pour les OPJ sous instruction du Coordinateur"/>
    <s v="Office Materials"/>
    <s v="Operations"/>
    <n v="1500"/>
    <n v="2.4437059746004457"/>
    <n v="613.82180000000005"/>
    <s v="Crépin"/>
    <s v="CR-F-D2"/>
    <s v="PALF"/>
    <x v="2"/>
    <s v="Congo"/>
    <m/>
    <m/>
    <m/>
  </r>
  <r>
    <x v="46"/>
    <s v="Achat credit téléphonique pour le coordinateur"/>
    <s v="Telephone"/>
    <s v="Management"/>
    <n v="5000"/>
    <n v="8.1456865820014865"/>
    <n v="613.82180000000005"/>
    <s v="Merveille"/>
    <s v="CA-F-R34"/>
    <s v="PALF"/>
    <x v="2"/>
    <s v="Congo"/>
    <m/>
    <m/>
    <m/>
  </r>
  <r>
    <x v="46"/>
    <s v="P29 - CONGO Frais hotel du 10 au 24/02/2025 à owando/(14 Nuitées)"/>
    <s v="Travel Subsistence"/>
    <s v="Investigations"/>
    <n v="210000"/>
    <n v="342.11883644406242"/>
    <n v="613.82180000000005"/>
    <s v="P29"/>
    <s v="P29-F-R8"/>
    <s v="PALF"/>
    <x v="2"/>
    <s v="Congo"/>
    <m/>
    <m/>
    <m/>
  </r>
  <r>
    <x v="46"/>
    <s v="Location véhicule extraction owando-oyo/P29"/>
    <s v="Transport"/>
    <s v="Operations"/>
    <n v="50000"/>
    <n v="81.456865820014855"/>
    <n v="613.82180000000005"/>
    <s v="P29"/>
    <s v="P29-F-R9"/>
    <s v="PALF"/>
    <x v="2"/>
    <s v="Congo"/>
    <m/>
    <m/>
    <m/>
  </r>
  <r>
    <x v="46"/>
    <s v="Locaation vehicule 1 pour extraction  du stade à la vouma/P29"/>
    <s v="Transport"/>
    <s v="Operations"/>
    <n v="8000"/>
    <n v="13.033098531202377"/>
    <n v="613.82180000000005"/>
    <s v="P29"/>
    <s v="P29-F-R10"/>
    <s v="PALF"/>
    <x v="2"/>
    <s v="Congo"/>
    <m/>
    <m/>
    <m/>
  </r>
  <r>
    <x v="46"/>
    <s v="Locaation vehicule 2  pour extraction de la vouma station AOGC/P29"/>
    <s v="Transport"/>
    <s v="Operations"/>
    <n v="8000"/>
    <n v="13.033098531202377"/>
    <n v="613.82180000000005"/>
    <s v="P29"/>
    <s v="P29-F-R11"/>
    <s v="PALF"/>
    <x v="2"/>
    <s v="Congo"/>
    <m/>
    <m/>
    <m/>
  </r>
  <r>
    <x v="46"/>
    <s v="Rafraichissement en attente opération "/>
    <s v="Travel Subsistence"/>
    <s v="Operations"/>
    <n v="18000"/>
    <n v="29.32447169520535"/>
    <n v="613.82180000000005"/>
    <s v="Romain"/>
    <s v="RM-F-R5"/>
    <s v="PALF"/>
    <x v="2"/>
    <s v="Congo"/>
    <m/>
    <m/>
    <m/>
  </r>
  <r>
    <x v="46"/>
    <s v="Carburant BJ Opération"/>
    <s v="Transport"/>
    <s v="Operations"/>
    <n v="25000"/>
    <n v="40.728432910007427"/>
    <n v="613.82180000000005"/>
    <s v="Romain"/>
    <s v="RM-F-R6"/>
    <s v="PALF"/>
    <x v="2"/>
    <s v="Congo"/>
    <m/>
    <m/>
    <m/>
  </r>
  <r>
    <x v="46"/>
    <s v="Rafraîchissement attente OP"/>
    <s v="Travel Subsistence"/>
    <s v="Legal"/>
    <n v="5100"/>
    <n v="8.3086003136415147"/>
    <n v="613.82180000000005"/>
    <s v="Abraham"/>
    <s v="AB-F-R3"/>
    <s v="PALF"/>
    <x v="2"/>
    <s v="Congo"/>
    <m/>
    <m/>
    <m/>
  </r>
  <r>
    <x v="46"/>
    <s v="Frais de transfert charden farell à Abraham (pour le compte de DOVI et Crépin)"/>
    <s v="Transfer Fees"/>
    <s v="Office"/>
    <n v="8100"/>
    <n v="13.196012262842407"/>
    <n v="613.82180000000005"/>
    <s v="Roderlin"/>
    <s v="CA-F-R33"/>
    <s v="PALF"/>
    <x v="2"/>
    <s v="Congo"/>
    <m/>
    <m/>
    <m/>
  </r>
  <r>
    <x v="46"/>
    <s v="Rafraichissement de mon équipe lors de l'opération"/>
    <s v="Travel Subsistence"/>
    <s v="Operations"/>
    <n v="9800"/>
    <n v="15.965545700722911"/>
    <n v="613.82180000000005"/>
    <s v="Evariste"/>
    <s v="EV-F-D2"/>
    <s v="PALF"/>
    <x v="2"/>
    <s v="Congo"/>
    <m/>
    <m/>
    <m/>
  </r>
  <r>
    <x v="47"/>
    <s v="Achat billet Owando -Brazzaville/DOVI"/>
    <s v="Transport"/>
    <s v="Management"/>
    <n v="7000"/>
    <n v="11.403961214802081"/>
    <n v="613.82180000000005"/>
    <s v="DOVI"/>
    <s v="DH-F-R4"/>
    <s v="PALF"/>
    <x v="2"/>
    <s v="Congo"/>
    <m/>
    <m/>
    <m/>
  </r>
  <r>
    <x v="47"/>
    <s v="DOVI-CONGO Frais d'hôtel du 15 Février 2025 au 25 Février 2025 soit 10 nuitées à Owando(Hôtel Savouret)"/>
    <s v="Travel Subsistence"/>
    <s v="Management"/>
    <n v="150000"/>
    <n v="244.37059746004456"/>
    <n v="613.82180000000005"/>
    <s v="DOVI"/>
    <s v="DH-F-R5"/>
    <s v="PALF"/>
    <x v="2"/>
    <s v="Congo"/>
    <m/>
    <m/>
    <m/>
  </r>
  <r>
    <x v="47"/>
    <s v="Bonus pour 18 Gendarmes ayant participé à l'opération du 24/02/2025  à Owando"/>
    <s v="Bonus"/>
    <s v="Operations"/>
    <n v="180000"/>
    <n v="293.24471695205347"/>
    <n v="613.82180000000005"/>
    <s v="Crépin"/>
    <s v="CR-F-R4"/>
    <s v="PALF"/>
    <x v="2"/>
    <s v="Congo"/>
    <m/>
    <m/>
    <m/>
  </r>
  <r>
    <x v="47"/>
    <s v="Bonus pour 02 EF ayant participé à l'opération du 24/02/2025  à Owando"/>
    <s v="Bonus"/>
    <s v="Operations"/>
    <n v="20000"/>
    <n v="32.582746328005946"/>
    <n v="613.82180000000005"/>
    <s v="Crépin"/>
    <s v="CR-F-R5"/>
    <s v="PALF"/>
    <x v="2"/>
    <s v="Congo"/>
    <m/>
    <m/>
    <m/>
  </r>
  <r>
    <x v="47"/>
    <s v="P29 - CONGO Frais de Location d'appartement pour op à owando du 22 au 25/02/2025  (occupé par crepin)/03 Nuitées"/>
    <s v="Travel Subsistence"/>
    <s v="Operations"/>
    <n v="105000"/>
    <n v="181.26853794494306"/>
    <n v="579.25099999999998"/>
    <s v="P29"/>
    <s v="P29-F-R12"/>
    <s v="PALF"/>
    <x v="1"/>
    <s v="Congo"/>
    <m/>
    <m/>
    <m/>
  </r>
  <r>
    <x v="47"/>
    <s v="P29 - CONGO Frais de location d'appartement pour op à Owando du 22 au 25/02/2025  (occupé par T73)/03 Nuitées"/>
    <s v="Travel Subsistence"/>
    <s v="Operations"/>
    <n v="105000"/>
    <n v="181.26853794494306"/>
    <n v="579.25099999999998"/>
    <s v="P29"/>
    <s v="P29-F-R13"/>
    <s v="PALF"/>
    <x v="1"/>
    <s v="Congo"/>
    <m/>
    <m/>
    <m/>
  </r>
  <r>
    <x v="47"/>
    <s v="Achat billet Brazzaville - Loutété/ IT87"/>
    <s v="Transport"/>
    <s v="Investigations"/>
    <n v="7000"/>
    <n v="11.403961214802081"/>
    <n v="613.82180000000005"/>
    <s v="IT87"/>
    <s v="IT87-F-R14"/>
    <s v="PALF"/>
    <x v="2"/>
    <s v="Congo"/>
    <m/>
    <m/>
    <m/>
  </r>
  <r>
    <x v="47"/>
    <s v="ROMAIN - CONGO - Frais d'hôtel du 15 au 25/02/2025 à Owando(10 Nuitées)"/>
    <s v="Travel Subsistence"/>
    <s v="Legal"/>
    <n v="150000"/>
    <n v="244.37059746004456"/>
    <n v="613.82180000000005"/>
    <s v="Romain"/>
    <s v="RM-F-R8"/>
    <s v="PALF"/>
    <x v="2"/>
    <s v="Congo"/>
    <m/>
    <m/>
    <m/>
  </r>
  <r>
    <x v="47"/>
    <s v="EVARISTE - CONGO Frais de l'hôtel du 15 au 25 février 2025 à Owando (10 nuitées)"/>
    <s v="Travel Subsistence"/>
    <s v="Media"/>
    <n v="150000"/>
    <n v="244.37059746004456"/>
    <n v="613.82180000000005"/>
    <s v="Evariste"/>
    <s v="EV-F-R2"/>
    <s v="PALF"/>
    <x v="2"/>
    <s v="Congo"/>
    <m/>
    <m/>
    <m/>
  </r>
  <r>
    <x v="48"/>
    <s v="Frais de mission à Owando de maitre Alain du 27/02 au 04/03/2025"/>
    <s v="Lawyer Fees"/>
    <s v="Legal"/>
    <n v="148000"/>
    <n v="241.11232282724399"/>
    <n v="613.82180000000005"/>
    <s v="Merveille"/>
    <s v="CA-F-R35"/>
    <s v="PALF"/>
    <x v="2"/>
    <s v="Congo"/>
    <m/>
    <m/>
    <m/>
  </r>
  <r>
    <x v="48"/>
    <s v="Frais de transfert d'argent à Abraham"/>
    <s v="Transfer Fees"/>
    <s v="Office"/>
    <n v="10980"/>
    <n v="17.887927734075262"/>
    <n v="613.82180000000005"/>
    <s v="Parfaite"/>
    <s v="CA-F-R44"/>
    <s v="PALF"/>
    <x v="2"/>
    <s v="Congo"/>
    <m/>
    <m/>
    <m/>
  </r>
  <r>
    <x v="48"/>
    <s v="IT87 - CONGO Ration  du 26 au 28/02/2025 à Loutété"/>
    <s v="Travel Subsistence"/>
    <s v="Investigations"/>
    <n v="20000"/>
    <n v="32.582746328005946"/>
    <n v="613.82180000000005"/>
    <s v="IT87"/>
    <s v="IT87-F-D3"/>
    <s v="PALF"/>
    <x v="2"/>
    <s v="Congo"/>
    <m/>
    <m/>
    <m/>
  </r>
  <r>
    <x v="48"/>
    <s v="Cumul frais de transport local du mois Février 2025/G12"/>
    <s v="Transport"/>
    <s v="Investigations"/>
    <n v="40100"/>
    <n v="65.32840638765191"/>
    <n v="613.82180000000005"/>
    <s v="G12"/>
    <s v="G12-F-D3"/>
    <s v="PALF"/>
    <x v="2"/>
    <s v="Congo"/>
    <m/>
    <m/>
    <m/>
  </r>
  <r>
    <x v="48"/>
    <s v="Achat médicaments du prévenu Dodo"/>
    <s v="Jail visit"/>
    <s v="Operations"/>
    <n v="4000"/>
    <n v="6.9054681121883075"/>
    <n v="579.25099999999998"/>
    <s v="Abraham"/>
    <s v="AB-F-R4"/>
    <s v="PALF"/>
    <x v="1"/>
    <s v="Congo"/>
    <m/>
    <m/>
    <m/>
  </r>
  <r>
    <x v="49"/>
    <s v="Reglement prestation de nettoyage jardin PALF du mois de Février 2025"/>
    <s v="Services"/>
    <s v="Office"/>
    <n v="20000"/>
    <n v="34.527340560941539"/>
    <n v="579.25099999999998"/>
    <s v="Merveille"/>
    <s v="CA-F-R36"/>
    <s v="PALF"/>
    <x v="1"/>
    <s v="Congo"/>
    <m/>
    <m/>
    <m/>
  </r>
  <r>
    <x v="49"/>
    <s v="Cumul frais de Trust building du mois de Février 2025/IT87"/>
    <s v="Trust Building"/>
    <s v="Investigations"/>
    <n v="29000"/>
    <n v="50.06464381336523"/>
    <n v="579.25099999999998"/>
    <s v="IT87"/>
    <s v="IT87-F-D4"/>
    <s v="PALF"/>
    <x v="1"/>
    <s v="Congo"/>
    <m/>
    <m/>
    <m/>
  </r>
  <r>
    <x v="49"/>
    <s v="Cumul frais de transport local du mois de Février 2025/Roderlin"/>
    <s v="Transport"/>
    <s v="Legal"/>
    <n v="26900"/>
    <n v="46.439273054466369"/>
    <n v="579.25099999999998"/>
    <s v="Roderlin"/>
    <s v="RO-F-D4"/>
    <s v="PALF"/>
    <x v="1"/>
    <s v="Congo"/>
    <m/>
    <m/>
    <m/>
  </r>
  <r>
    <x v="49"/>
    <s v="Frais de transfert d'argent à IT87"/>
    <s v="Transfer Fees"/>
    <s v="Office"/>
    <n v="560"/>
    <n v="0.93929314835967548"/>
    <n v="596.19299999999998"/>
    <s v="Roderlin"/>
    <s v="CA-F-R37"/>
    <s v="PALF"/>
    <x v="0"/>
    <s v="Congo"/>
    <m/>
    <m/>
    <m/>
  </r>
  <r>
    <x v="49"/>
    <s v="Cumul frais de transport local du mois de Février 2025/Parfaite"/>
    <s v="Transport"/>
    <s v="Office"/>
    <n v="7000"/>
    <n v="11.741164354495943"/>
    <n v="579.25099999999998"/>
    <s v="Parfaite"/>
    <s v="P-F-D1"/>
    <s v="PALF"/>
    <x v="1"/>
    <s v="Congo"/>
    <m/>
    <m/>
    <m/>
  </r>
  <r>
    <x v="50"/>
    <s v="Cumul frais de transport local du mois de Février 2025/DOVI"/>
    <s v="Transport"/>
    <s v="Management"/>
    <n v="39500"/>
    <n v="68.191497607859532"/>
    <n v="579.25099999999998"/>
    <s v="DOVI"/>
    <s v="DH-F-D2"/>
    <s v="PALF"/>
    <x v="1"/>
    <s v="Congo"/>
    <m/>
    <m/>
    <m/>
  </r>
  <r>
    <x v="50"/>
    <s v="Cumul frais de transport local du mois de Février 2025/Crepin IBOUILI IBOUILI"/>
    <s v="Transport"/>
    <s v="Legal"/>
    <n v="14000"/>
    <n v="24.169138392659075"/>
    <n v="579.25099999999998"/>
    <s v="Crépin"/>
    <s v="CR-F-D3"/>
    <s v="PALF"/>
    <x v="1"/>
    <s v="Congo"/>
    <m/>
    <m/>
    <m/>
  </r>
  <r>
    <x v="50"/>
    <s v="Cumul frais de transport local du mois de Février 2025/Merveille"/>
    <s v="Transport"/>
    <s v="Office"/>
    <n v="35500"/>
    <n v="61.286029495671229"/>
    <n v="579.25099999999998"/>
    <s v="Merveille"/>
    <s v="ME-F-D1"/>
    <s v="PALF"/>
    <x v="1"/>
    <s v="Congo"/>
    <m/>
    <m/>
    <m/>
  </r>
  <r>
    <x v="50"/>
    <s v="Ramassage ordure du mois Février 2025/Bureau PALF"/>
    <s v="Services"/>
    <s v="Office"/>
    <n v="6000"/>
    <n v="10.35820216828246"/>
    <n v="579.25099999999998"/>
    <s v="Merveille"/>
    <s v="CA-F-R38"/>
    <s v="PALF"/>
    <x v="1"/>
    <s v="Congo"/>
    <m/>
    <m/>
    <m/>
  </r>
  <r>
    <x v="50"/>
    <s v="Reglement facture internet periode du 01/03 au 31/03/2025 bureau PALF"/>
    <s v="Internet"/>
    <s v="Office"/>
    <n v="45050"/>
    <n v="77.772834613520814"/>
    <n v="579.25099999999998"/>
    <s v="Merveille"/>
    <s v="CA-F-R39"/>
    <s v="PALF"/>
    <x v="1"/>
    <s v="Congo"/>
    <m/>
    <m/>
    <m/>
  </r>
  <r>
    <x v="50"/>
    <s v="Achat fourniture de bureau/Classeurs,stylo,intercalaire,rame papier,surligneur,chemise cartonnée"/>
    <s v="Office Materials"/>
    <s v="Office"/>
    <n v="182000"/>
    <n v="314.19879910456797"/>
    <n v="579.25099999999998"/>
    <s v="Merveille"/>
    <s v="CA-F-R41"/>
    <s v="PALF"/>
    <x v="1"/>
    <s v="Congo"/>
    <m/>
    <m/>
    <m/>
  </r>
  <r>
    <x v="50"/>
    <s v="Frais de carte de travail Parfaite"/>
    <s v="Personnel"/>
    <s v="Office"/>
    <n v="10500"/>
    <n v="18.126853794494306"/>
    <n v="579.25099999999998"/>
    <s v="Merveille"/>
    <s v="CA-F-R42"/>
    <s v="PALF"/>
    <x v="1"/>
    <s v="Congo"/>
    <m/>
    <m/>
    <m/>
  </r>
  <r>
    <x v="50"/>
    <s v="Frais de transfert d'argent à Romain"/>
    <s v="Transfer Fees"/>
    <s v="Office"/>
    <n v="7020"/>
    <n v="12.119096536890479"/>
    <n v="579.25099999999998"/>
    <s v="Parfaite"/>
    <s v="CA-F-R45"/>
    <s v="PALF"/>
    <x v="1"/>
    <s v="Congo"/>
    <m/>
    <m/>
    <m/>
  </r>
  <r>
    <x v="50"/>
    <s v="Règlement prestation technicienne de surface (mois de Février 2025)"/>
    <s v="Services"/>
    <s v="Office"/>
    <n v="75625"/>
    <n v="130.55650649606019"/>
    <n v="579.25099999999998"/>
    <s v="Parfaite"/>
    <s v="CA-F-R40"/>
    <s v="PALF"/>
    <x v="1"/>
    <s v="Congo"/>
    <m/>
    <m/>
    <m/>
  </r>
  <r>
    <x v="50"/>
    <s v="Achat billet billet oyo-brazzaville/P29"/>
    <s v="Transport"/>
    <s v="Investigations"/>
    <n v="6000"/>
    <n v="10.35820216828246"/>
    <n v="579.25099999999998"/>
    <s v="P29"/>
    <s v="P29-F-R14"/>
    <s v="PALF"/>
    <x v="1"/>
    <s v="Congo"/>
    <m/>
    <m/>
    <m/>
  </r>
  <r>
    <x v="50"/>
    <s v="P29 - CONGO Frais d'hotel du 24 au 28/02/2025  à Oyo(04 Nuitées)"/>
    <s v="Travel Subsistence"/>
    <s v="Investigations"/>
    <n v="60000"/>
    <n v="103.5820216828246"/>
    <n v="579.25099999999998"/>
    <s v="P29"/>
    <s v="P29-F-R15"/>
    <s v="PALF"/>
    <x v="1"/>
    <s v="Congo"/>
    <m/>
    <m/>
    <m/>
  </r>
  <r>
    <x v="50"/>
    <s v="Cumul frais de transport local du mois de Février 2025/P29"/>
    <s v="Transport"/>
    <s v="Investigations"/>
    <n v="66800"/>
    <n v="115.32131747354472"/>
    <n v="579.25099999999998"/>
    <s v="P29"/>
    <s v="P29-F-D3"/>
    <s v="PALF"/>
    <x v="1"/>
    <s v="Congo"/>
    <m/>
    <m/>
    <m/>
  </r>
  <r>
    <x v="50"/>
    <s v="T73 - CONGO Frais d'hotel du 24 au 28/02/2025 (04 nuitées ) à Oyo"/>
    <s v="Travel Subsistence"/>
    <s v="Investigations"/>
    <n v="60000"/>
    <n v="103.5820216828246"/>
    <n v="579.25099999999998"/>
    <s v="T73"/>
    <s v="T73-F-R6"/>
    <s v="PALF"/>
    <x v="1"/>
    <s v="Congo"/>
    <m/>
    <m/>
    <m/>
  </r>
  <r>
    <x v="50"/>
    <s v="Achat billet : Oyo - Brazzaville /T73"/>
    <s v="Transport"/>
    <s v="Investigations"/>
    <n v="6000"/>
    <n v="10.35820216828246"/>
    <n v="579.25099999999998"/>
    <s v="T73"/>
    <s v="T73-F-R7"/>
    <s v="PALF"/>
    <x v="1"/>
    <s v="Congo"/>
    <m/>
    <m/>
    <m/>
  </r>
  <r>
    <x v="50"/>
    <s v="Cumul frais de transport local du mois de Février 2025/T73"/>
    <s v="Transport"/>
    <s v="Investigations"/>
    <n v="53700"/>
    <n v="92.705909406128029"/>
    <n v="579.25099999999998"/>
    <s v="T73"/>
    <s v="T73-F-D3"/>
    <s v="PALF"/>
    <x v="1"/>
    <s v="Congo"/>
    <m/>
    <m/>
    <m/>
  </r>
  <r>
    <x v="50"/>
    <s v="IT87 - CONGO Frais d'hôtel Clair Matin du 26 au 28/02/2025 à Loutété (02 nuitées)"/>
    <s v="Travel Subsistence"/>
    <s v="Investigations"/>
    <n v="30000"/>
    <n v="51.791010841412302"/>
    <n v="579.25099999999998"/>
    <s v="IT87"/>
    <s v="IT87-F-R15"/>
    <s v="PALF"/>
    <x v="1"/>
    <s v="Congo"/>
    <m/>
    <m/>
    <m/>
  </r>
  <r>
    <x v="50"/>
    <s v="Achat billet Loutété - Brazzaville/ IT87"/>
    <s v="Transport"/>
    <s v="Investigations"/>
    <n v="7000"/>
    <n v="12.084569196329538"/>
    <n v="579.25099999999998"/>
    <s v="IT87"/>
    <s v="IT87-F-R16"/>
    <s v="PALF"/>
    <x v="1"/>
    <s v="Congo"/>
    <m/>
    <m/>
    <m/>
  </r>
  <r>
    <x v="50"/>
    <s v="Cumul frais de Transport local du mois de Février 2025/IT87"/>
    <s v="Transport"/>
    <s v="Investigations"/>
    <n v="66500"/>
    <n v="114.80340736513061"/>
    <n v="579.25099999999998"/>
    <s v="IT87"/>
    <s v="IT87-F-D5"/>
    <s v="PALF"/>
    <x v="1"/>
    <s v="Congo"/>
    <m/>
    <m/>
    <m/>
  </r>
  <r>
    <x v="50"/>
    <s v="Impréssion de la procédure de la Gendarmerie"/>
    <s v="Office Materials"/>
    <s v="Legal"/>
    <n v="24675"/>
    <n v="42.598106417061622"/>
    <n v="579.25099999999998"/>
    <s v="Romain"/>
    <s v="RM-F-R7"/>
    <s v="PALF"/>
    <x v="1"/>
    <s v="Congo"/>
    <m/>
    <m/>
    <m/>
  </r>
  <r>
    <x v="50"/>
    <s v="Cumul frais de transport local du mois de Février 2025/Romain"/>
    <s v="Transport"/>
    <s v="Legal"/>
    <n v="35500"/>
    <n v="61.286029495671229"/>
    <n v="579.25099999999998"/>
    <s v="Romain"/>
    <s v="RM-F-D3"/>
    <s v="PALF"/>
    <x v="1"/>
    <s v="Congo"/>
    <m/>
    <m/>
    <m/>
  </r>
  <r>
    <x v="50"/>
    <s v="Cumul frais de jail visits du mois de Février 2025/Abraham"/>
    <s v="Jail visit"/>
    <s v="Operations"/>
    <n v="18000"/>
    <n v="31.074606504847381"/>
    <n v="579.25099999999998"/>
    <s v="Abraham"/>
    <s v="AB-F-D2"/>
    <s v="PALF"/>
    <x v="1"/>
    <s v="Congo"/>
    <m/>
    <m/>
    <m/>
  </r>
  <r>
    <x v="50"/>
    <s v="Cumul frais de transport local du mois de Février 2025/Abraham"/>
    <s v="Transport"/>
    <s v="Legal"/>
    <n v="45000"/>
    <n v="77.68651626211846"/>
    <n v="579.25099999999998"/>
    <s v="Abraham"/>
    <s v="AB-F-D3"/>
    <s v="PALF"/>
    <x v="1"/>
    <s v="Congo"/>
    <m/>
    <m/>
    <m/>
  </r>
  <r>
    <x v="50"/>
    <s v="EVARISTE - CONGO Frais de l'hôtel du 25 au 28 février 2025 (3 nuitées) "/>
    <s v="Travel Subsistence"/>
    <s v="Media"/>
    <n v="45000"/>
    <n v="77.68651626211846"/>
    <n v="579.25099999999998"/>
    <s v="Evariste"/>
    <s v="EV-F-R3"/>
    <s v="PALF"/>
    <x v="1"/>
    <s v="Congo"/>
    <m/>
    <m/>
    <m/>
  </r>
  <r>
    <x v="50"/>
    <s v="Achat billet Owando-Brazzaville/Evariste"/>
    <s v="Transport"/>
    <s v="Media"/>
    <n v="7000"/>
    <n v="12.084569196329538"/>
    <n v="579.25099999999998"/>
    <s v="Evariste"/>
    <s v="EV-F-R4"/>
    <s v="PALF"/>
    <x v="1"/>
    <s v="Congo"/>
    <m/>
    <m/>
    <m/>
  </r>
  <r>
    <x v="50"/>
    <s v="Cumul frais de transport local du mois de Février 2025/Evariste"/>
    <s v="Transport"/>
    <s v="Media"/>
    <n v="33500"/>
    <n v="57.833295439577071"/>
    <n v="579.25099999999998"/>
    <s v="Evariste"/>
    <s v="EV-F-D3"/>
    <s v="PALF"/>
    <x v="1"/>
    <s v="Congo"/>
    <m/>
    <m/>
    <m/>
  </r>
  <r>
    <x v="50"/>
    <s v="Bonus media portant sur l'interpellation de deux présumé trafiquants le 24/02/2025 à Owando"/>
    <s v="Bonus to media officer"/>
    <s v="Media"/>
    <n v="200000"/>
    <n v="345.27340560941536"/>
    <n v="579.25099999999998"/>
    <s v="Evariste"/>
    <s v="CA-F-D13"/>
    <s v="PALF"/>
    <x v="1"/>
    <s v="Congo"/>
    <m/>
    <m/>
    <m/>
  </r>
  <r>
    <x v="51"/>
    <s v="CREPIN - CONGO Hébergement à l'hôtel Case Mbali d'Owando, 05 Nuitées du 24/02/ au 01/03/2025 "/>
    <s v="Travel Subsistence"/>
    <s v="Legal"/>
    <n v="75000"/>
    <n v="129.47754945610797"/>
    <n v="579.25099999999998"/>
    <s v="Crépin"/>
    <s v="CR-M-R1"/>
    <s v="PALF"/>
    <x v="1"/>
    <s v="Congo"/>
    <m/>
    <m/>
    <m/>
  </r>
  <r>
    <x v="51"/>
    <s v="Achat billet Owando-Brazzaville(Trans bony)/Abraham"/>
    <s v="Transport"/>
    <s v="Legal"/>
    <n v="7000"/>
    <n v="12.084571282570078"/>
    <n v="579.25099999999998"/>
    <s v="Abraham"/>
    <s v="AB-M-R1"/>
    <s v="PALF"/>
    <x v="1"/>
    <s v="Congo"/>
    <m/>
    <m/>
    <m/>
  </r>
  <r>
    <x v="51"/>
    <s v="ABRAHAM - CONGO frais d'Hôtel (Hôtel Case Mbali) du 20/02/2025 au 01/03/2025 Owando (09Nuitées)"/>
    <s v="Travel Subsistence"/>
    <s v="Legal"/>
    <n v="135000"/>
    <n v="233.05958902099437"/>
    <n v="579.25099999999998"/>
    <s v="Abraham"/>
    <s v="AB-M-R2"/>
    <s v="PALF"/>
    <x v="1"/>
    <s v="Congo"/>
    <m/>
    <m/>
    <m/>
  </r>
  <r>
    <x v="52"/>
    <s v="Achat credit  teléphonique MTN/PALF/Première partie du mois de Mars2025/Management"/>
    <s v="Telephone"/>
    <s v="Management"/>
    <n v="47000"/>
    <n v="81.139264325827668"/>
    <n v="579.25099999999998"/>
    <s v="Merveille"/>
    <s v="CA-M-R1"/>
    <s v="PALF"/>
    <x v="1"/>
    <s v="Congo"/>
    <m/>
    <m/>
    <m/>
  </r>
  <r>
    <x v="52"/>
    <s v="Achat credit  teléphonique MTN/PALF/Première partie du mois de Mars 2025/Legal"/>
    <s v="Telephone"/>
    <s v="Legal"/>
    <n v="74000"/>
    <n v="127.75118213002654"/>
    <n v="579.25099999999998"/>
    <s v="Merveille"/>
    <s v="CA-M-R2"/>
    <s v="PALF"/>
    <x v="1"/>
    <s v="Congo"/>
    <m/>
    <m/>
    <m/>
  </r>
  <r>
    <x v="52"/>
    <s v="Achat credit  teléphonique MTN/PALF/Première partie du mois de Mars 2025/Investigation"/>
    <s v="Telephone"/>
    <s v="Investigations"/>
    <n v="88000"/>
    <n v="151.9203246951667"/>
    <n v="579.25099999999998"/>
    <s v="Merveille"/>
    <s v="CA-M-R3"/>
    <s v="PALF"/>
    <x v="1"/>
    <s v="Congo"/>
    <m/>
    <m/>
    <m/>
  </r>
  <r>
    <x v="52"/>
    <s v="Achat credit  teléphonique MTN/PALF/Première partie du mois de Mars 2025/Media"/>
    <s v="Telephone"/>
    <s v="Media"/>
    <n v="10000"/>
    <n v="17.263673260814397"/>
    <n v="579.25099999999998"/>
    <s v="Merveille"/>
    <s v="CA-M-R4"/>
    <s v="PALF"/>
    <x v="1"/>
    <s v="Congo"/>
    <m/>
    <m/>
    <m/>
  </r>
  <r>
    <x v="52"/>
    <s v="Achat credit  teléphonique Airtel/PALF/Première partie du mois de Mars 2025/Legal"/>
    <s v="Telephone"/>
    <s v="Legal"/>
    <n v="10000"/>
    <n v="17.263673260814397"/>
    <n v="579.25099999999998"/>
    <s v="Merveille"/>
    <s v="CA-M-R5"/>
    <s v="PALF"/>
    <x v="1"/>
    <s v="Congo"/>
    <m/>
    <m/>
    <m/>
  </r>
  <r>
    <x v="52"/>
    <s v="Achat credit  teléphonique Airtel/PALF/Première partie du mois de Mars 2025/Investigation"/>
    <s v="Telephone"/>
    <s v="Investigations"/>
    <n v="16000"/>
    <n v="27.621877217303034"/>
    <n v="579.25099999999998"/>
    <s v="Merveille"/>
    <s v="CA-M-R6"/>
    <s v="PALF"/>
    <x v="1"/>
    <s v="Congo"/>
    <m/>
    <m/>
    <m/>
  </r>
  <r>
    <x v="52"/>
    <s v="Achat credit  teléphonique Airtel/PALF/Première partie du mois de Mars 2025/Media"/>
    <s v="Telephone"/>
    <s v="Media"/>
    <n v="11000"/>
    <n v="18.990040586895837"/>
    <n v="579.25099999999998"/>
    <s v="Merveille"/>
    <s v="CA-M-R7"/>
    <s v="PALF"/>
    <x v="1"/>
    <s v="Congo"/>
    <m/>
    <m/>
    <m/>
  </r>
  <r>
    <x v="52"/>
    <s v="Achat 01 telephone Tecno POP 7/ 64GB et 4ROM pour Abraham"/>
    <s v="Equipment"/>
    <s v="Legal"/>
    <n v="65000"/>
    <n v="112.21387619529358"/>
    <n v="579.25099999999998"/>
    <s v="Merveille"/>
    <s v="CA-M-R8"/>
    <s v="PALF"/>
    <x v="1"/>
    <s v="Congo"/>
    <m/>
    <m/>
    <m/>
  </r>
  <r>
    <x v="52"/>
    <s v="Bonus operation du 24/02/2025 à Owando/Evariste"/>
    <s v="Bonus"/>
    <s v="Operations"/>
    <n v="45000"/>
    <n v="77.686529673664793"/>
    <n v="579.25099999999998"/>
    <s v="Merveille"/>
    <s v="CA-M-D1"/>
    <s v="PALF"/>
    <x v="1"/>
    <s v="Congo"/>
    <m/>
    <m/>
    <m/>
  </r>
  <r>
    <x v="52"/>
    <s v="Bonus du mois de Janvier 2025/Evariste"/>
    <s v="Personnel"/>
    <s v="Media"/>
    <n v="30000"/>
    <n v="51.791019782443193"/>
    <n v="579.25099999999998"/>
    <s v="Merveille"/>
    <s v="CA-M-D2"/>
    <s v="PALF"/>
    <x v="1"/>
    <s v="Congo"/>
    <m/>
    <m/>
    <m/>
  </r>
  <r>
    <x v="52"/>
    <s v="Bonus du mois de Janvier 2025/Merveille"/>
    <s v="Personnel"/>
    <s v="Office"/>
    <n v="94430"/>
    <n v="163.02086660187035"/>
    <n v="579.25099999999998"/>
    <s v="Merveille"/>
    <s v="CA-M-D3"/>
    <s v="PALF"/>
    <x v="1"/>
    <s v="Congo"/>
    <m/>
    <m/>
    <m/>
  </r>
  <r>
    <x v="52"/>
    <s v="Bonus operation du 24/02/2025 à Owando/Merveille"/>
    <s v="Bonus"/>
    <s v="Operations"/>
    <n v="20000"/>
    <n v="34.527346521628793"/>
    <n v="579.25099999999998"/>
    <s v="Merveille"/>
    <s v="CA-M-D4"/>
    <s v="PALF"/>
    <x v="1"/>
    <s v="Congo"/>
    <m/>
    <m/>
    <m/>
  </r>
  <r>
    <x v="52"/>
    <s v="Bonus operation du 24/02/2025 à Owando/Abraham"/>
    <s v="Bonus"/>
    <s v="Operations"/>
    <n v="45000"/>
    <n v="77.686529673664793"/>
    <n v="579.25099999999998"/>
    <s v="Merveille"/>
    <s v="CA-M-D6"/>
    <s v="PALF"/>
    <x v="1"/>
    <s v="Congo"/>
    <m/>
    <m/>
    <m/>
  </r>
  <r>
    <x v="52"/>
    <s v="Bonus du mois de Janvier 2025/Abraham"/>
    <s v="Personnel"/>
    <s v="Legal"/>
    <n v="30000"/>
    <n v="51.791019782443193"/>
    <n v="579.25099999999998"/>
    <s v="Merveille"/>
    <s v="CA-M-D7"/>
    <s v="PALF"/>
    <x v="1"/>
    <s v="Congo"/>
    <m/>
    <m/>
    <m/>
  </r>
  <r>
    <x v="52"/>
    <s v="Bonus du mois de Janvier 2025/Roderlin"/>
    <s v="Personnel"/>
    <s v="Legal"/>
    <n v="30000"/>
    <n v="51.791019782443193"/>
    <n v="579.25099999999998"/>
    <s v="Merveille"/>
    <s v="CA-M-D8"/>
    <s v="PALF"/>
    <x v="1"/>
    <s v="Congo"/>
    <m/>
    <m/>
    <m/>
  </r>
  <r>
    <x v="52"/>
    <s v="Achat 10 ampoules pour le bureau "/>
    <s v="Office Materials"/>
    <s v="Office"/>
    <n v="25000"/>
    <n v="43.159183152035993"/>
    <n v="579.25099999999998"/>
    <s v="Parfaite"/>
    <s v="CA-M-R9"/>
    <s v="PALF"/>
    <x v="1"/>
    <s v="Congo"/>
    <m/>
    <m/>
    <m/>
  </r>
  <r>
    <x v="52"/>
    <s v="Bonus du mois de Janvier 2025/Parfaite"/>
    <s v="Personnel"/>
    <s v="Office"/>
    <n v="15000"/>
    <n v="25.895509891221597"/>
    <n v="579.25099999999998"/>
    <s v="Parfaite"/>
    <s v="CA-M-D5"/>
    <s v="PALF"/>
    <x v="1"/>
    <s v="Congo"/>
    <m/>
    <m/>
    <m/>
  </r>
  <r>
    <x v="52"/>
    <s v="Achat carburant 100 Litres de gazoil groupe electrogène Bureau"/>
    <s v="Office Materials"/>
    <s v="Office"/>
    <n v="62500"/>
    <n v="107.89795788008998"/>
    <n v="579.25099999999998"/>
    <s v="Abraham"/>
    <s v="CA-M-R10"/>
    <s v="PALF"/>
    <x v="1"/>
    <s v="Congo"/>
    <m/>
    <m/>
    <m/>
  </r>
  <r>
    <x v="52"/>
    <s v="Reglement loyer du mois de Février 2025/3654804"/>
    <s v="Rent &amp; Utilities"/>
    <s v="Office"/>
    <n v="500000"/>
    <n v="863.18366304071981"/>
    <n v="579.25099999999998"/>
    <s v="BCI"/>
    <s v="BQ-M-R1"/>
    <s v="PALF"/>
    <x v="1"/>
    <s v="Congo"/>
    <m/>
    <m/>
    <m/>
  </r>
  <r>
    <x v="52"/>
    <s v="Paiement salaire du mois de Février 2025/FOUMBA Roderlin/3654808"/>
    <s v="Personnel"/>
    <s v="Legal"/>
    <n v="200000"/>
    <n v="345.27346521628795"/>
    <n v="579.25099999999998"/>
    <s v="BCI"/>
    <s v="BQ-M-R2"/>
    <s v="PALF"/>
    <x v="1"/>
    <s v="Congo"/>
    <m/>
    <m/>
    <m/>
  </r>
  <r>
    <x v="52"/>
    <s v="Paiement salaire du mois de Février 2025/BOUNGOU MAKOSSO Abraham"/>
    <s v="Personnel"/>
    <s v="Legal"/>
    <n v="200000"/>
    <n v="345.27346521628795"/>
    <n v="579.25099999999998"/>
    <s v="BCI"/>
    <s v="BQ-M-R3"/>
    <s v="PALF"/>
    <x v="1"/>
    <s v="Congo"/>
    <m/>
    <m/>
    <m/>
  </r>
  <r>
    <x v="52"/>
    <s v="Paiement salaire du mois de Février 2025/LOUNDOU JeanRomain/3654807"/>
    <s v="Personnel"/>
    <s v="Legal"/>
    <n v="200000"/>
    <n v="345.27346521628795"/>
    <n v="579.25099999999998"/>
    <s v="BCI"/>
    <s v="BQ-M-R4"/>
    <s v="PALF"/>
    <x v="1"/>
    <s v="Congo"/>
    <m/>
    <m/>
    <m/>
  </r>
  <r>
    <x v="52"/>
    <s v="Paiement salaire du mois de Février 2025/Crepin IBOUILI-IBOUILI"/>
    <s v="Personnel"/>
    <s v="Legal"/>
    <n v="551482"/>
    <n v="952.06050572204458"/>
    <n v="579.25099999999998"/>
    <s v="BCI"/>
    <s v="BQ-M-R5"/>
    <s v="PALF"/>
    <x v="1"/>
    <s v="Congo"/>
    <m/>
    <m/>
    <m/>
  </r>
  <r>
    <x v="52"/>
    <s v="Paiement salaire du mois de Février 2025/Merveille MAHANGA"/>
    <s v="Personnel"/>
    <s v="Office"/>
    <n v="384789"/>
    <n v="664.2871570355511"/>
    <n v="579.25099999999998"/>
    <s v="BCI"/>
    <s v="BQ-M-R6"/>
    <s v="PALF"/>
    <x v="1"/>
    <s v="Congo"/>
    <m/>
    <m/>
    <m/>
  </r>
  <r>
    <x v="52"/>
    <s v="Paiement salaire du mois de Février 2025/Evariste LELOUSSI"/>
    <s v="Personnel"/>
    <s v="Media"/>
    <n v="238140"/>
    <n v="411.11711503303405"/>
    <n v="579.25099999999998"/>
    <s v="BCI"/>
    <s v="BQ-M-R7"/>
    <s v="PALF"/>
    <x v="1"/>
    <s v="Congo"/>
    <m/>
    <m/>
    <m/>
  </r>
  <r>
    <x v="52"/>
    <s v="Reglement honoraire du mois de Février 2025/T73/3654813"/>
    <s v="Personnel"/>
    <s v="Investigations"/>
    <n v="405000"/>
    <n v="699.17876706298307"/>
    <n v="579.25099999999998"/>
    <s v="BCI"/>
    <s v="BQ-M-R8"/>
    <s v="PALF"/>
    <x v="1"/>
    <s v="Congo"/>
    <m/>
    <m/>
    <m/>
  </r>
  <r>
    <x v="52"/>
    <s v="Reglement honoraire du mois de Février 2025/P29/3654814"/>
    <s v="Personnel"/>
    <s v="Investigations"/>
    <n v="460000"/>
    <n v="794.12896999746226"/>
    <n v="579.25099999999998"/>
    <s v="BCI"/>
    <s v="BQ-M-R9"/>
    <s v="PALF"/>
    <x v="1"/>
    <s v="Congo"/>
    <m/>
    <m/>
    <m/>
  </r>
  <r>
    <x v="52"/>
    <s v="Reglement honoraire du mois de Février 2025/IT87/3654815"/>
    <s v="Personnel"/>
    <s v="Investigations"/>
    <n v="255000"/>
    <n v="440.22366815076714"/>
    <n v="579.25099999999998"/>
    <s v="BCI"/>
    <s v="BQ-M-R10"/>
    <s v="PALF"/>
    <x v="1"/>
    <s v="Congo"/>
    <m/>
    <m/>
    <m/>
  </r>
  <r>
    <x v="52"/>
    <s v="Reglement honoraire du mois de Février 2025/G12/3654816"/>
    <s v="Personnel"/>
    <s v="Investigations"/>
    <n v="255000"/>
    <n v="440.22366815076714"/>
    <n v="579.25099999999998"/>
    <s v="BCI"/>
    <s v="BQ-M-R11"/>
    <s v="PALF"/>
    <x v="1"/>
    <s v="Congo"/>
    <m/>
    <m/>
    <m/>
  </r>
  <r>
    <x v="52"/>
    <s v="Reglement Facture Gardiennage Mois de Février 2025/3654817"/>
    <s v="Services"/>
    <s v="Office"/>
    <n v="260000"/>
    <n v="448.85550478117432"/>
    <n v="579.25099999999998"/>
    <s v="BCI"/>
    <s v="BQ-M-R12"/>
    <s v="PALF"/>
    <x v="1"/>
    <s v="Congo"/>
    <m/>
    <m/>
    <m/>
  </r>
  <r>
    <x v="52"/>
    <s v="Frais de virement salaire février 2025"/>
    <s v="Bank fees"/>
    <s v="Office"/>
    <n v="10665"/>
    <n v="18.411707532658554"/>
    <n v="579.25099999999998"/>
    <s v="BCI"/>
    <s v="BQ-M-R13"/>
    <s v="PALF"/>
    <x v="1"/>
    <s v="Congo"/>
    <m/>
    <m/>
    <m/>
  </r>
  <r>
    <x v="52"/>
    <s v="Acompte honoraire contrat N°64_Dolisie cas NZETSI BIMOKO et Consorts/Maitre Marie Hélène NANITELAMIO MALONGA"/>
    <s v="Lawyer Fees"/>
    <s v="Legal"/>
    <n v="300000"/>
    <n v="517.91019782443186"/>
    <n v="579.25099999999998"/>
    <s v="BCI"/>
    <s v="BQ-M-R14"/>
    <s v="PALF"/>
    <x v="1"/>
    <s v="Congo"/>
    <m/>
    <m/>
    <m/>
  </r>
  <r>
    <x v="53"/>
    <s v="Bonus à un informateur en RDC "/>
    <s v="Trust Building"/>
    <s v="Investigations"/>
    <n v="30000"/>
    <n v="51.791019782443193"/>
    <n v="579.25099999999998"/>
    <s v="DOVI"/>
    <s v="CA-M-R12"/>
    <s v="PALF"/>
    <x v="1"/>
    <s v="Congo"/>
    <m/>
    <m/>
    <m/>
  </r>
  <r>
    <x v="53"/>
    <s v="Cumul frais de transport local du mois de Mars 2025/Merveille"/>
    <s v="Transport"/>
    <s v="Office"/>
    <n v="9900"/>
    <n v="17.091036528206253"/>
    <n v="579.25099999999998"/>
    <s v="Merveille"/>
    <s v="M-M-D1"/>
    <s v="PALF"/>
    <x v="1"/>
    <s v="Congo"/>
    <m/>
    <m/>
    <m/>
  </r>
  <r>
    <x v="53"/>
    <s v="Paiement salaire des jours travaillés en février 2025/Parfaite"/>
    <s v="Personnel"/>
    <s v="Office"/>
    <n v="131428"/>
    <n v="226.89300493223146"/>
    <n v="579.25099999999998"/>
    <s v="Merveille"/>
    <s v="CA-M-R11"/>
    <s v="PALF"/>
    <x v="1"/>
    <s v="Congo"/>
    <m/>
    <m/>
    <m/>
  </r>
  <r>
    <x v="53"/>
    <s v="Frais de transport mission maitre Marie Helène à Owando du 05 au 07/03/2025 suivi audience cas EBI"/>
    <s v="Transport"/>
    <s v="Legal"/>
    <n v="20000"/>
    <n v="34.527346521628793"/>
    <n v="579.25099999999998"/>
    <s v="Merveille"/>
    <s v="CA-M-R16"/>
    <s v="PALF"/>
    <x v="1"/>
    <s v="Congo"/>
    <m/>
    <m/>
    <m/>
  </r>
  <r>
    <x v="53"/>
    <s v="Ration et frais d'hotel mission maitre Marie Helène à Owando du 05 au 07/03/2025 suivi audience cas EBI"/>
    <s v="Travel Subsistence"/>
    <s v="Legal"/>
    <n v="50000"/>
    <n v="86.318366304071986"/>
    <n v="579.25099999999998"/>
    <s v="Merveille"/>
    <s v="CA-M-R17"/>
    <s v="PALF"/>
    <x v="1"/>
    <s v="Congo"/>
    <m/>
    <m/>
    <m/>
  </r>
  <r>
    <x v="53"/>
    <s v="Bonus du mois de Janvier 2025/Crepin"/>
    <s v="Personnel"/>
    <s v="Legal"/>
    <n v="30000"/>
    <n v="51.791019782443193"/>
    <n v="579.25099999999998"/>
    <s v="Merveille"/>
    <s v="CA-M-D10"/>
    <s v="PALF"/>
    <x v="1"/>
    <s v="Congo"/>
    <m/>
    <m/>
    <m/>
  </r>
  <r>
    <x v="53"/>
    <s v="Bonus operation du 24/02/2025 à Owando/Crepin"/>
    <s v="Bonus"/>
    <s v="Operations"/>
    <n v="50000"/>
    <n v="86.318366304071986"/>
    <n v="579.25099999999998"/>
    <s v="Merveille"/>
    <s v="CA-M-D11"/>
    <s v="PALF"/>
    <x v="1"/>
    <s v="Congo"/>
    <m/>
    <m/>
    <m/>
  </r>
  <r>
    <x v="53"/>
    <s v="Frais de transfert d'argent à Romain et Crepin"/>
    <s v="Transfer Fees"/>
    <s v="Office"/>
    <n v="8700"/>
    <n v="15.019395736908526"/>
    <n v="579.25099999999998"/>
    <s v="Parfaite"/>
    <s v="CA-M-R14"/>
    <s v="PALF"/>
    <x v="1"/>
    <s v="Congo"/>
    <m/>
    <m/>
    <m/>
  </r>
  <r>
    <x v="53"/>
    <s v="Complement frais de mission maitre Banzouzi du 04 au 08/03/3035 à Owando"/>
    <s v="Travel Subsistence"/>
    <s v="Legal"/>
    <n v="100000"/>
    <n v="172.63673260814397"/>
    <n v="579.25099999999998"/>
    <s v="Parfaite"/>
    <s v="CA-M-R15"/>
    <s v="PALF"/>
    <x v="1"/>
    <s v="Congo"/>
    <m/>
    <m/>
    <m/>
  </r>
  <r>
    <x v="53"/>
    <s v="payement frais d'inscription et mensuel pour la formation en anglais"/>
    <s v="Personnel"/>
    <s v="Team Building"/>
    <n v="65000"/>
    <n v="112.21387619529358"/>
    <n v="579.25099999999998"/>
    <s v="T73"/>
    <s v="T73-M-R1"/>
    <s v="PALF"/>
    <x v="1"/>
    <s v="Congo"/>
    <m/>
    <m/>
    <m/>
  </r>
  <r>
    <x v="53"/>
    <s v="ROMAIN-CONGO Ration du 04 au 08/03/2025 à Owando (04 Nuitées) "/>
    <s v="Travel Subsistence"/>
    <s v="Legal"/>
    <n v="40000"/>
    <n v="69.054693043257586"/>
    <n v="579.25099999999998"/>
    <s v="Romain"/>
    <s v="RM-M-D1"/>
    <s v="PALF"/>
    <x v="1"/>
    <s v="Congo"/>
    <m/>
    <m/>
    <m/>
  </r>
  <r>
    <x v="53"/>
    <s v="Frais de transfert d'argent en RDC"/>
    <s v="Transfer Fees"/>
    <s v="Office"/>
    <n v="1952"/>
    <n v="3.3698690205109703"/>
    <n v="579.25099999999998"/>
    <s v="Roderlin"/>
    <s v="CA-M-R13"/>
    <s v="PALF"/>
    <x v="1"/>
    <s v="Congo"/>
    <m/>
    <m/>
    <m/>
  </r>
  <r>
    <x v="53"/>
    <s v="Bonus media portant sur l'interpellation de 2 Présumés trafiquants le 24/02/205 à Owando"/>
    <s v="Bonus to media officer"/>
    <s v="Media"/>
    <n v="148000"/>
    <n v="255.50236426005307"/>
    <n v="579.25099999999998"/>
    <s v="Evariste"/>
    <s v="CA-M-D9"/>
    <s v="PALF"/>
    <x v="1"/>
    <s v="Congo"/>
    <m/>
    <m/>
    <m/>
  </r>
  <r>
    <x v="54"/>
    <s v="CREPIN - CONGO Ration du du 05 au 08/03/2025  03 Nuitées  à Owando(03 Nuitées)"/>
    <s v="Travel Subsistence"/>
    <s v="Legal"/>
    <n v="30000"/>
    <n v="51.791019782443193"/>
    <n v="579.25099999999998"/>
    <s v="Crépin"/>
    <s v="CR-M-D1"/>
    <s v="PALF"/>
    <x v="1"/>
    <s v="Congo"/>
    <m/>
    <m/>
    <m/>
  </r>
  <r>
    <x v="55"/>
    <s v="Règlement loyer du mois de Février 2025/DOVI Coordinateur PALF "/>
    <s v="Personnel"/>
    <s v="Management"/>
    <n v="174625"/>
    <n v="301.46689431697143"/>
    <n v="579.25099999999998"/>
    <s v="DOVI"/>
    <s v="DH-M-R2"/>
    <s v="PALF"/>
    <x v="1"/>
    <s v="Congo"/>
    <m/>
    <m/>
    <m/>
  </r>
  <r>
    <x v="55"/>
    <s v="Bonus à un informateur en RDC"/>
    <s v="Trust Building"/>
    <s v="Investigations"/>
    <n v="30000"/>
    <n v="51.791019782443193"/>
    <n v="579.25099999999998"/>
    <s v="DOVI"/>
    <s v="CA-M-R18"/>
    <s v="PALF"/>
    <x v="1"/>
    <s v="Congo"/>
    <m/>
    <m/>
    <m/>
  </r>
  <r>
    <x v="55"/>
    <s v="Achat billet brazzaville - dolisie/G12"/>
    <s v="Transport"/>
    <s v="Investigations"/>
    <n v="7000"/>
    <n v="12.084571282570078"/>
    <n v="579.25099999999998"/>
    <s v="G12"/>
    <s v="G12-M-R1"/>
    <s v="PALF"/>
    <x v="1"/>
    <s v="Congo"/>
    <m/>
    <m/>
    <m/>
  </r>
  <r>
    <x v="55"/>
    <s v="Frais de transfert Bonus à un informateur en RDC"/>
    <s v="Transfer Fees"/>
    <s v="Office"/>
    <n v="1952"/>
    <n v="3.3698690205109703"/>
    <n v="579.25099999999998"/>
    <s v="Roderlin"/>
    <s v="CA-M-R19"/>
    <s v="PALF"/>
    <x v="1"/>
    <s v="Congo"/>
    <m/>
    <m/>
    <m/>
  </r>
  <r>
    <x v="56"/>
    <s v="Reparation de court -circuit électrique du bureau"/>
    <s v="Services"/>
    <s v="Office"/>
    <n v="20000"/>
    <n v="34.527346521628793"/>
    <n v="579.25099999999998"/>
    <s v="DOVI"/>
    <s v="CA-M-R20"/>
    <s v="PALF"/>
    <x v="1"/>
    <s v="Congo"/>
    <m/>
    <m/>
    <m/>
  </r>
  <r>
    <x v="56"/>
    <s v="G12 - GONGO Ration du 07 au 24/03/2025 à Dolisie et Madingou "/>
    <s v="Travel Subsistence"/>
    <s v="Investigations"/>
    <n v="170000"/>
    <n v="293.48244543384476"/>
    <n v="579.25099999999998"/>
    <s v="G12"/>
    <s v="G12-M-D1"/>
    <s v="PALF"/>
    <x v="1"/>
    <s v="Congo"/>
    <m/>
    <m/>
    <m/>
  </r>
  <r>
    <x v="56"/>
    <s v="RAPATRIEME01100 RAO00010768/CHENE"/>
    <s v="Grant"/>
    <m/>
    <m/>
    <n v="0"/>
    <n v="579.64599999999996"/>
    <s v="BCI"/>
    <s v="BQ-M-G1"/>
    <s v="PALF"/>
    <x v="1"/>
    <s v="Congo"/>
    <n v="17389380"/>
    <n v="30000"/>
    <m/>
  </r>
  <r>
    <x v="56"/>
    <s v="RAPATRIEME01100 RAO00010768/OAT"/>
    <s v="Grant"/>
    <m/>
    <m/>
    <n v="0"/>
    <n v="579.64599999999996"/>
    <s v="BCI"/>
    <s v="BQ-M-G2"/>
    <s v="PALF"/>
    <x v="3"/>
    <s v="Congo"/>
    <n v="2898230"/>
    <n v="5000"/>
    <m/>
  </r>
  <r>
    <x v="57"/>
    <s v="CREPIN-IBOULI CONGO Hébergement à l'hôtel Case Mbali d'Owando, 07 Nuitées du  01 au 08/03/2025 "/>
    <s v="Travel Subsistence"/>
    <s v="Legal"/>
    <n v="105000"/>
    <n v="181.14504369908531"/>
    <n v="579.64599999999996"/>
    <s v="Crépin"/>
    <s v="CR-M-R2"/>
    <s v="PALF"/>
    <x v="1"/>
    <s v="Congo"/>
    <m/>
    <m/>
    <m/>
  </r>
  <r>
    <x v="57"/>
    <s v="Billet: Owando-Brazaville/Crepin"/>
    <s v="Transport"/>
    <s v="Legal"/>
    <n v="7000"/>
    <n v="12.076336246605688"/>
    <n v="579.64599999999996"/>
    <s v="Crépin"/>
    <s v="CR-M-R3"/>
    <s v="PALF"/>
    <x v="1"/>
    <s v="Congo"/>
    <m/>
    <m/>
    <m/>
  </r>
  <r>
    <x v="57"/>
    <s v="ROMAIN - CONGO Frais d'hotel du 25/02/au 08/03/2025 à Owando"/>
    <s v="Travel Subsistence"/>
    <s v="Legal"/>
    <n v="165000"/>
    <n v="284.6564972414198"/>
    <n v="579.64599999999996"/>
    <s v="Romain"/>
    <s v="RM-M-R1"/>
    <s v="PALF"/>
    <x v="1"/>
    <s v="Congo"/>
    <m/>
    <m/>
    <m/>
  </r>
  <r>
    <x v="58"/>
    <s v="Bonus du mois de Février 2025/Romain"/>
    <s v="Personnel"/>
    <s v="Legal"/>
    <n v="30000"/>
    <n v="51.755726771167232"/>
    <n v="579.64599999999996"/>
    <s v="Merveille"/>
    <s v="CA-M-D12"/>
    <s v="PALF"/>
    <x v="1"/>
    <s v="Congo"/>
    <m/>
    <m/>
    <m/>
  </r>
  <r>
    <x v="58"/>
    <s v="Bonus operation du 24/02/2025 à Owando/Romain"/>
    <s v="Bonus"/>
    <s v="Operations"/>
    <n v="45000"/>
    <n v="77.633590156750856"/>
    <n v="579.64599999999996"/>
    <s v="Merveille"/>
    <s v="CA-M-D13"/>
    <s v="PALF"/>
    <x v="1"/>
    <s v="Congo"/>
    <m/>
    <m/>
    <m/>
  </r>
  <r>
    <x v="58"/>
    <s v="Achat billet Brazzaville-Dolisie/P29"/>
    <s v="Transport"/>
    <s v="Investigations"/>
    <n v="10000"/>
    <n v="17.251908923722411"/>
    <n v="579.64599999999996"/>
    <s v="P29"/>
    <s v="P29-M-R1"/>
    <s v="PALF"/>
    <x v="1"/>
    <s v="Congo"/>
    <m/>
    <m/>
    <m/>
  </r>
  <r>
    <x v="58"/>
    <s v="Cumul trust building du mois de Mars 2025/G12 "/>
    <s v="Trust Building"/>
    <s v="Investigations"/>
    <n v="16000"/>
    <n v="27.603054277955859"/>
    <n v="579.64599999999996"/>
    <s v="G12"/>
    <s v="G12-M-D2"/>
    <s v="PALF"/>
    <x v="1"/>
    <s v="Congo"/>
    <m/>
    <m/>
    <m/>
  </r>
  <r>
    <x v="58"/>
    <s v="Frais de transfert d'argent à G12"/>
    <s v="Transfer Fees"/>
    <s v="Office"/>
    <n v="4170"/>
    <n v="7.1940460211922455"/>
    <n v="579.64599999999996"/>
    <s v="Roderlin"/>
    <s v="CA-M-R21"/>
    <s v="PALF"/>
    <x v="1"/>
    <s v="Congo"/>
    <m/>
    <m/>
    <m/>
  </r>
  <r>
    <x v="58"/>
    <s v="Paiement Honoraire Me LOCKO/Mois de Janvier 2025/3654793"/>
    <s v="Lawyer Fees"/>
    <s v="Legal"/>
    <n v="150000"/>
    <n v="258.77863385583618"/>
    <n v="579.64599999999996"/>
    <s v="BCI"/>
    <s v="BQ-M-R15"/>
    <s v="PALF"/>
    <x v="1"/>
    <s v="Congo"/>
    <m/>
    <m/>
    <m/>
  </r>
  <r>
    <x v="58"/>
    <s v="Paiement Honoraire Me LOCKO/Mois de Février 2025/3654820"/>
    <s v="Lawyer Fees"/>
    <s v="Legal"/>
    <n v="150000"/>
    <n v="258.77863385583618"/>
    <n v="579.64599999999996"/>
    <s v="BCI"/>
    <s v="BQ-M-R16"/>
    <s v="PALF"/>
    <x v="1"/>
    <s v="Congo"/>
    <m/>
    <m/>
    <m/>
  </r>
  <r>
    <x v="58"/>
    <s v="Paiement salaire du mois de Février 2025/Homéfa DOVI/3654812"/>
    <s v="Personnel"/>
    <s v="Management"/>
    <n v="1311000"/>
    <n v="2261.725259900008"/>
    <n v="579.64599999999996"/>
    <s v="BCI"/>
    <s v="BQ-M-R17"/>
    <s v="PALF"/>
    <x v="1"/>
    <s v="Congo"/>
    <m/>
    <m/>
    <m/>
  </r>
  <r>
    <x v="59"/>
    <s v="Achat de 14 pagnes africain pour la JIF(08Mars)/Bureau PALF"/>
    <s v="Personnel"/>
    <s v="Team Building"/>
    <n v="112000"/>
    <n v="193.22137994569101"/>
    <n v="579.64599999999996"/>
    <s v="Parfaite"/>
    <s v="CA-M-R23"/>
    <s v="PALF"/>
    <x v="1"/>
    <s v="Congo"/>
    <m/>
    <m/>
    <m/>
  </r>
  <r>
    <x v="59"/>
    <s v="P29- CONGO Ration mission du 11 au 24/03/2025 à Dolisie et Madingou (13 Nuitées)"/>
    <s v="Travel Subsistence"/>
    <s v="Investigations"/>
    <n v="130000"/>
    <n v="224.27481600839135"/>
    <n v="579.64599999999996"/>
    <s v="P29"/>
    <s v="P29-M-D1"/>
    <s v="PALF"/>
    <x v="3"/>
    <s v="Congo"/>
    <m/>
    <m/>
    <m/>
  </r>
  <r>
    <x v="59"/>
    <s v="T73 - CONGO Ration du 11 au 18/03/2025 (07nuitées) à Djambala,Lékana et NGO"/>
    <s v="Travel Subsistence"/>
    <s v="Investigations"/>
    <n v="70000"/>
    <n v="120.76336246605688"/>
    <n v="579.64599999999996"/>
    <s v="T73"/>
    <s v="T73-M-D1"/>
    <s v="PALF"/>
    <x v="3"/>
    <s v="Congo"/>
    <m/>
    <m/>
    <m/>
  </r>
  <r>
    <x v="59"/>
    <s v="achat billet : Brazzaville - Djambala/T73"/>
    <s v="Transport"/>
    <s v="Investigations"/>
    <n v="6000"/>
    <n v="10.351145354233447"/>
    <n v="579.64599999999996"/>
    <s v="T73"/>
    <s v="T73-M-R2"/>
    <s v="PALF"/>
    <x v="3"/>
    <s v="Congo"/>
    <m/>
    <m/>
    <m/>
  </r>
  <r>
    <x v="59"/>
    <s v="IT87 - CONGO Ration du 11 au 18/03/2025 à Pointe-Noire et Nkayi "/>
    <s v="Travel Subsistence"/>
    <s v="Investigations"/>
    <n v="70000"/>
    <n v="120.76336246605688"/>
    <n v="579.64599999999996"/>
    <s v="IT87"/>
    <s v="IT87-M-D1"/>
    <s v="PALF"/>
    <x v="3"/>
    <s v="Congo"/>
    <m/>
    <m/>
    <m/>
  </r>
  <r>
    <x v="59"/>
    <s v="Achat billet Brazzaville - Pointe-Noire/ IT87"/>
    <s v="Transport"/>
    <s v="Investigations"/>
    <n v="12000"/>
    <n v="20.702290708466894"/>
    <n v="579.64599999999996"/>
    <s v="IT87"/>
    <s v="IT87-M-R1"/>
    <s v="PALF"/>
    <x v="3"/>
    <s v="Congo"/>
    <m/>
    <m/>
    <m/>
  </r>
  <r>
    <x v="59"/>
    <s v="Règlement facture électricité piode Janvier-Février2025/bureau PALF"/>
    <s v="Rent &amp; Utilities"/>
    <s v="Office"/>
    <n v="72102"/>
    <n v="124.38971372182333"/>
    <n v="579.64599999999996"/>
    <s v="Roderlin"/>
    <s v="CA-M-R22"/>
    <s v="PALF"/>
    <x v="3"/>
    <s v="Congo"/>
    <m/>
    <m/>
    <m/>
  </r>
  <r>
    <x v="59"/>
    <s v="Virement fonds à CJ"/>
    <s v="Grant"/>
    <m/>
    <n v="2107400"/>
    <n v="3635.6672865852611"/>
    <n v="579.64599999999996"/>
    <s v="BCI"/>
    <s v="BQ-M-G3"/>
    <s v="PALF"/>
    <x v="4"/>
    <s v="Congo"/>
    <m/>
    <m/>
    <m/>
  </r>
  <r>
    <x v="59"/>
    <s v="Frais de virement de fonds à CJ"/>
    <s v="Bank fees"/>
    <s v="Office"/>
    <n v="24268"/>
    <n v="41.866932576089546"/>
    <n v="579.64599999999996"/>
    <s v="BCI"/>
    <s v="BQ-M-R18"/>
    <s v="PALF"/>
    <x v="3"/>
    <s v="Congo"/>
    <m/>
    <m/>
    <m/>
  </r>
  <r>
    <x v="59"/>
    <s v="Paiement congé et jours travaillés en Mars 2025/Merveille MAHANGA"/>
    <s v="Personnel"/>
    <s v="Office"/>
    <n v="398693"/>
    <n v="687.82153245256598"/>
    <n v="579.64599999999996"/>
    <s v="BCI"/>
    <s v="BQ-M-R19"/>
    <s v="PALF"/>
    <x v="1"/>
    <s v="Congo"/>
    <m/>
    <m/>
    <m/>
  </r>
  <r>
    <x v="59"/>
    <s v="Frais de virement salaire Mervielle Mars 2025"/>
    <s v="Bank fees"/>
    <s v="Office"/>
    <n v="18255"/>
    <n v="31.493359740255261"/>
    <n v="579.64599999999996"/>
    <s v="BCI"/>
    <s v="BQ-M-R20"/>
    <s v="PALF"/>
    <x v="3"/>
    <s v="Congo"/>
    <m/>
    <m/>
    <m/>
  </r>
  <r>
    <x v="60"/>
    <s v="Achat produit d'entretien lait,sucre,javel,papier toilette,sucre,café/Bureau PALF "/>
    <s v="Office Materials"/>
    <s v="Office"/>
    <n v="56550"/>
    <n v="97.559544963650239"/>
    <n v="579.64599999999996"/>
    <s v="Parfaite"/>
    <s v="CA-M-R25"/>
    <s v="PALF"/>
    <x v="3"/>
    <s v="Congo"/>
    <m/>
    <m/>
    <m/>
  </r>
  <r>
    <x v="60"/>
    <s v="Achat credit téléphonique MTN pour Donald Roméo periode du 12 au 31/03/2025"/>
    <s v="Telephone"/>
    <s v="Legal"/>
    <n v="15000"/>
    <n v="25.877863385583616"/>
    <n v="579.64599999999996"/>
    <s v="Parfaite"/>
    <s v="CA-M-R26"/>
    <s v="PALF"/>
    <x v="3"/>
    <s v="Congo"/>
    <m/>
    <m/>
    <m/>
  </r>
  <r>
    <x v="60"/>
    <s v="T73 - CONGO Frais d'hotel du 11 au 12/03/2025 (01 nuitée ) à Djambala"/>
    <s v="Travel Subsistence"/>
    <s v="Investigations"/>
    <n v="15000"/>
    <n v="25.877863385583616"/>
    <n v="579.64599999999996"/>
    <s v="T73"/>
    <s v="T73-M-R3"/>
    <s v="PALF"/>
    <x v="3"/>
    <s v="Congo"/>
    <m/>
    <m/>
    <m/>
  </r>
  <r>
    <x v="60"/>
    <s v="achat billet : Djambala - Lékana/T73"/>
    <s v="Transport"/>
    <s v="Investigations"/>
    <n v="4000"/>
    <n v="6.9007635694889649"/>
    <n v="579.64599999999996"/>
    <s v="T73"/>
    <s v="T73-M-R4"/>
    <s v="PALF"/>
    <x v="3"/>
    <s v="Congo"/>
    <m/>
    <m/>
    <m/>
  </r>
  <r>
    <x v="60"/>
    <s v="Achat eau mineral 16 Litres/Bureau"/>
    <s v="Office Materials"/>
    <s v="Office"/>
    <n v="25000"/>
    <n v="43.129772309306027"/>
    <n v="579.64599999999996"/>
    <s v="Roderlin"/>
    <s v="CA-M-R24"/>
    <s v="PALF"/>
    <x v="3"/>
    <s v="Congo"/>
    <m/>
    <m/>
    <m/>
  </r>
  <r>
    <x v="61"/>
    <s v="Frais de transfert d'argent à G12"/>
    <s v="Transfer Fees"/>
    <s v="Office"/>
    <n v="1740"/>
    <n v="3.0018321527276997"/>
    <n v="579.64599999999996"/>
    <s v="Roderlin"/>
    <s v="CA-M-R27"/>
    <s v="PALF"/>
    <x v="3"/>
    <s v="Congo"/>
    <m/>
    <m/>
    <m/>
  </r>
  <r>
    <x v="62"/>
    <s v="T73 - CONGO Frais d'hotel du 12 au 14/03/2025 (02 nuitées ) à Lékana"/>
    <s v="Travel Subsistence"/>
    <s v="Investigations"/>
    <n v="30000"/>
    <n v="51.755726771167232"/>
    <n v="579.64599999999996"/>
    <s v="T73"/>
    <s v="T73-M-R5"/>
    <s v="PALF"/>
    <x v="3"/>
    <s v="Congo"/>
    <m/>
    <m/>
    <m/>
  </r>
  <r>
    <x v="62"/>
    <s v="achat billet : Lekana - Djambala/T73"/>
    <s v="Transport"/>
    <s v="Investigations"/>
    <n v="4000"/>
    <n v="6.9007635694889649"/>
    <n v="579.64599999999996"/>
    <s v="T73"/>
    <s v="T73-M-R6"/>
    <s v="PALF"/>
    <x v="3"/>
    <s v="Congo"/>
    <m/>
    <m/>
    <m/>
  </r>
  <r>
    <x v="62"/>
    <s v="Solde honoraire contrat N°81_Owando cas MONICK François/Maitre Marie Alain BAZOUNZI"/>
    <s v="Lawyer Fees"/>
    <s v="Legal"/>
    <n v="300000"/>
    <n v="517.55726771167235"/>
    <n v="579.64599999999996"/>
    <s v="BCI"/>
    <s v="BQ-M-R21"/>
    <s v="PALF"/>
    <x v="1"/>
    <s v="Congo"/>
    <m/>
    <m/>
    <m/>
  </r>
  <r>
    <x v="62"/>
    <s v="Acompte honoraire contrat N°82_Owando cas NGASSAKI Dany et ELOMBO Levy/Maitre Marie Alain BAZOUNZI"/>
    <s v="Lawyer Fees"/>
    <s v="Legal"/>
    <n v="200000"/>
    <n v="345.03817847444822"/>
    <n v="579.64599999999996"/>
    <s v="BCI"/>
    <s v="BQ-M-R22"/>
    <s v="PALF"/>
    <x v="1"/>
    <s v="Congo"/>
    <m/>
    <m/>
    <m/>
  </r>
  <r>
    <x v="63"/>
    <s v="T73 - CONGO Frais d'hotel du 14 au 15/03/2025 (01 nuitée ) à Djambala"/>
    <s v="Travel Subsistence"/>
    <s v="Investigations"/>
    <n v="15000"/>
    <n v="25.877863385583616"/>
    <n v="579.64599999999996"/>
    <s v="T73"/>
    <s v="T73-M-R7"/>
    <s v="PALF"/>
    <x v="3"/>
    <s v="Congo"/>
    <m/>
    <m/>
    <m/>
  </r>
  <r>
    <x v="63"/>
    <s v="achat billet : Djambala - Ngo/T73"/>
    <s v="Transport"/>
    <s v="Investigations"/>
    <n v="4000"/>
    <n v="6.9007635694889649"/>
    <n v="579.64599999999996"/>
    <s v="T73"/>
    <s v="T73-M-R8"/>
    <s v="PALF"/>
    <x v="3"/>
    <s v="Congo"/>
    <m/>
    <m/>
    <m/>
  </r>
  <r>
    <x v="64"/>
    <s v="Billet: Brazzaville-Dolisie/Crépin"/>
    <s v="Transport"/>
    <s v="Legal"/>
    <n v="10000"/>
    <n v="17.251908923722411"/>
    <n v="579.64599999999996"/>
    <s v="Crépin"/>
    <s v="CR-M-R4"/>
    <s v="PALF"/>
    <x v="3"/>
    <s v="Congo"/>
    <m/>
    <m/>
    <m/>
  </r>
  <r>
    <x v="64"/>
    <s v="IT87- CONGO Frais d'hôtel du 11 au 16/03/2025 à Pointe-Noire (05 nuitées)"/>
    <s v="Travel Subsistence"/>
    <s v="Investigations"/>
    <n v="75000"/>
    <n v="129.38931692791809"/>
    <n v="579.64599999999996"/>
    <s v="IT87"/>
    <s v="IT87-M-R2"/>
    <s v="PALF"/>
    <x v="3"/>
    <s v="Congo"/>
    <m/>
    <m/>
    <m/>
  </r>
  <r>
    <x v="64"/>
    <s v="Achat billet Pointe-Noire - Nkayi/ IT87"/>
    <s v="Transport"/>
    <s v="Investigations"/>
    <n v="7000"/>
    <n v="12.076336246605688"/>
    <n v="579.64599999999996"/>
    <s v="IT87"/>
    <s v="IT87-M-R3"/>
    <s v="PALF"/>
    <x v="3"/>
    <s v="Congo"/>
    <m/>
    <m/>
    <m/>
  </r>
  <r>
    <x v="64"/>
    <s v="Achat Billet Brazzaville-Dolisie/Romain"/>
    <s v="Transport"/>
    <s v="Legal"/>
    <n v="10000"/>
    <n v="17.251908923722411"/>
    <n v="579.64599999999996"/>
    <s v="Romain"/>
    <s v="RM-M-R2"/>
    <s v="PALF"/>
    <x v="3"/>
    <s v="Congo"/>
    <m/>
    <m/>
    <m/>
  </r>
  <r>
    <x v="64"/>
    <s v="Billet Brazzaville-Dolisie/Abraham"/>
    <s v="Transport"/>
    <s v="Legal"/>
    <n v="10000"/>
    <n v="17.251908923722411"/>
    <n v="579.64599999999996"/>
    <s v="Abraham"/>
    <s v="AB-M-R3"/>
    <s v="PALF"/>
    <x v="3"/>
    <s v="Congo"/>
    <m/>
    <m/>
    <m/>
  </r>
  <r>
    <x v="64"/>
    <s v="Achat billet Brazzaville-Dolisie/Donald-Roméo"/>
    <s v="Transport"/>
    <s v="Legal"/>
    <n v="10000"/>
    <n v="17.251908923722411"/>
    <n v="579.64599999999996"/>
    <s v="Donald-Romeo"/>
    <s v="DR-M-R1"/>
    <s v="PALF"/>
    <x v="3"/>
    <s v="Congo"/>
    <m/>
    <m/>
    <m/>
  </r>
  <r>
    <x v="64"/>
    <s v="Achat billet Brazzaville-Dolisie/Evariste "/>
    <s v="Transport"/>
    <s v="Operations"/>
    <n v="10000"/>
    <n v="17.251908923722411"/>
    <n v="579.64599999999996"/>
    <s v="Evariste"/>
    <s v="EV-M-R1"/>
    <s v="PALF"/>
    <x v="3"/>
    <s v="Congo"/>
    <m/>
    <m/>
    <m/>
  </r>
  <r>
    <x v="65"/>
    <s v="CREPIN - CONGO Ration  du 17/03/ au 05/04/2025 à Dolisie(19 Nuitées)"/>
    <s v="Travel Subsistence"/>
    <s v="Operations"/>
    <n v="190000"/>
    <n v="327.78626955072582"/>
    <n v="579.64599999999996"/>
    <s v="Crépin"/>
    <s v="CR-M-D2"/>
    <s v="PALF"/>
    <x v="1"/>
    <s v="Congo"/>
    <m/>
    <m/>
    <m/>
  </r>
  <r>
    <x v="65"/>
    <s v="Frais de transfert d'argent à P29 et G12"/>
    <s v="Transfer Fees"/>
    <s v="Office"/>
    <n v="12690"/>
    <n v="21.892672424203738"/>
    <n v="579.64599999999996"/>
    <s v="Parfaite"/>
    <s v="CA-M-R28"/>
    <s v="PALF"/>
    <x v="3"/>
    <s v="Congo"/>
    <m/>
    <m/>
    <m/>
  </r>
  <r>
    <x v="65"/>
    <s v="Achat credit  teléphonique MTN/PALF/Deuxième partie du mois de Mars2025/Management"/>
    <s v="Telephone"/>
    <s v="Management"/>
    <n v="20000"/>
    <n v="34.503817847444822"/>
    <n v="579.64599999999996"/>
    <s v="Parfaite"/>
    <s v="CA-M-R29"/>
    <s v="PALF"/>
    <x v="3"/>
    <s v="Congo"/>
    <m/>
    <m/>
    <m/>
  </r>
  <r>
    <x v="65"/>
    <s v="Achat credit  teléphonique MTN/PALF/Deuxième partie du mois de Mars 2025/Legal"/>
    <s v="Telephone"/>
    <s v="Legal"/>
    <n v="30000"/>
    <n v="51.755726771167232"/>
    <n v="579.64599999999996"/>
    <s v="Parfaite"/>
    <s v="CA-M-R30"/>
    <s v="PALF"/>
    <x v="3"/>
    <s v="Congo"/>
    <m/>
    <m/>
    <m/>
  </r>
  <r>
    <x v="65"/>
    <s v="Achat credit  teléphonique MTN/PALF/Deuxième partie du mois de Mars 2025/Investigation"/>
    <s v="Telephone"/>
    <s v="Investigations"/>
    <n v="55000"/>
    <n v="94.885499080473267"/>
    <n v="579.64599999999996"/>
    <s v="Parfaite"/>
    <s v="CA-M-R31"/>
    <s v="PALF"/>
    <x v="3"/>
    <s v="Congo"/>
    <m/>
    <m/>
    <m/>
  </r>
  <r>
    <x v="65"/>
    <s v="Achat credit  teléphonique MTN/PALF/deuxième partie du mois de Mars 2025/Media"/>
    <s v="Telephone"/>
    <s v="Media"/>
    <n v="10000"/>
    <n v="17.251908923722411"/>
    <n v="579.64599999999996"/>
    <s v="Parfaite"/>
    <s v="CA-M-R32"/>
    <s v="PALF"/>
    <x v="3"/>
    <s v="Congo"/>
    <m/>
    <m/>
    <m/>
  </r>
  <r>
    <x v="65"/>
    <s v="Achat credit  teléphonique Airtel/PALF/Deuxième partie du mois de Mars 2025/Legal"/>
    <s v="Telephone"/>
    <s v="Legal"/>
    <n v="10000"/>
    <n v="17.251908923722411"/>
    <n v="579.64599999999996"/>
    <s v="Parfaite"/>
    <s v="CA-M-R33"/>
    <s v="PALF"/>
    <x v="3"/>
    <s v="Congo"/>
    <m/>
    <m/>
    <m/>
  </r>
  <r>
    <x v="65"/>
    <s v="Achat credit  teléphonique Airtel/PALF/Deuxième partie du mois de Mars 2025/Investigation"/>
    <s v="Telephone"/>
    <s v="Investigations"/>
    <n v="5000"/>
    <n v="8.6259544618612054"/>
    <n v="579.64599999999996"/>
    <s v="Parfaite"/>
    <s v="CA-M-R34"/>
    <s v="PALF"/>
    <x v="3"/>
    <s v="Congo"/>
    <m/>
    <m/>
    <m/>
  </r>
  <r>
    <x v="65"/>
    <s v="ROMAIN-CONGO: Ration du 17 au 29 mars 2025 à Dolisie et Sibiti/ 12 Nuitées"/>
    <s v="Travel Subsistence"/>
    <s v="Legal"/>
    <n v="120000"/>
    <n v="207.02290708466893"/>
    <n v="579.64599999999996"/>
    <s v="Romain"/>
    <s v="RM-M-D2"/>
    <s v="PALF"/>
    <x v="3"/>
    <s v="Congo"/>
    <m/>
    <m/>
    <m/>
  </r>
  <r>
    <x v="65"/>
    <s v="ABRAHAM - CONGO Ration du 17/03/2025 au 26/03/2025 à Dolisie (09 Nuitées) "/>
    <s v="Travel Subsistence"/>
    <s v="Operations"/>
    <n v="90000"/>
    <n v="155.26718031350171"/>
    <n v="579.64599999999996"/>
    <s v="Abraham"/>
    <s v="AB-M-D1"/>
    <s v="PALF"/>
    <x v="3"/>
    <s v="Congo"/>
    <m/>
    <m/>
    <m/>
  </r>
  <r>
    <x v="65"/>
    <s v="Ration  du  17/03/ au 05/04/2025 à Dolisie"/>
    <s v="Travel Subsistence"/>
    <s v="Legal"/>
    <n v="190000"/>
    <n v="327.78626955072582"/>
    <n v="579.64599999999996"/>
    <s v="Donald-Romeo"/>
    <s v="DR-M-D1"/>
    <s v="PALF"/>
    <x v="1"/>
    <s v="Congo"/>
    <m/>
    <m/>
    <m/>
  </r>
  <r>
    <x v="65"/>
    <s v="EVARISTE - CONGO Ration du 17 au 26 mars 2025  à Dolisie/09 Nuitées"/>
    <s v="Travel Subsistence"/>
    <s v="Operations"/>
    <n v="90000"/>
    <n v="155.26718031350171"/>
    <n v="579.64599999999996"/>
    <s v="Evariste"/>
    <s v="EV-M-D1"/>
    <s v="PALF"/>
    <x v="3"/>
    <s v="Congo"/>
    <m/>
    <m/>
    <m/>
  </r>
  <r>
    <x v="66"/>
    <s v="T73 - CONGO Frais d'hotel du 15 au 18/03/2025 (03 nuitées ) à Ngo"/>
    <s v="Travel Subsistence"/>
    <s v="Investigations"/>
    <n v="45000"/>
    <n v="77.633590156750856"/>
    <n v="579.64599999999996"/>
    <s v="T73"/>
    <s v="T73-M-R9"/>
    <s v="PALF"/>
    <x v="3"/>
    <s v="Congo"/>
    <m/>
    <m/>
    <m/>
  </r>
  <r>
    <x v="66"/>
    <s v="achat billet : Ngo - Brazzaville/T73"/>
    <s v="Transport"/>
    <s v="Investigations"/>
    <n v="6000"/>
    <n v="10.351145354233447"/>
    <n v="579.64599999999996"/>
    <s v="T73"/>
    <s v="T73-M-R10"/>
    <s v="PALF"/>
    <x v="3"/>
    <s v="Congo"/>
    <m/>
    <m/>
    <m/>
  </r>
  <r>
    <x v="66"/>
    <s v="IT87- CONGO Frais d'hôtel  du 16 au 18/03/2025 à Nkayi ( 02 nuitées)"/>
    <s v="Travel Subsistence"/>
    <s v="Investigations"/>
    <n v="30000"/>
    <n v="51.755726771167232"/>
    <n v="579.64599999999996"/>
    <s v="IT87"/>
    <s v="IT87-M-R4"/>
    <s v="PALF"/>
    <x v="1"/>
    <s v="Congo"/>
    <m/>
    <m/>
    <m/>
  </r>
  <r>
    <x v="66"/>
    <s v="Achat billet Nkayi -Brazzaville/ IT87"/>
    <s v="Transport"/>
    <s v="Investigations"/>
    <n v="7000"/>
    <n v="12.076336246605688"/>
    <n v="579.64599999999996"/>
    <s v="IT87"/>
    <s v="IT87-M-R5"/>
    <s v="PALF"/>
    <x v="1"/>
    <s v="Congo"/>
    <m/>
    <m/>
    <m/>
  </r>
  <r>
    <x v="66"/>
    <s v="Achat billet Brazzaville-Owando/Roderlin"/>
    <s v="Transport"/>
    <s v="Legal"/>
    <n v="7000"/>
    <n v="12.076336246605688"/>
    <n v="579.64599999999996"/>
    <s v="Roderlin"/>
    <s v="RO-M-R1"/>
    <s v="PALF"/>
    <x v="1"/>
    <s v="Congo"/>
    <m/>
    <m/>
    <m/>
  </r>
  <r>
    <x v="66"/>
    <s v="Frais de transport mission maitre Marie Helène à Owando du 19 au 22/03/2025 suivi audience cas EBI "/>
    <s v="Transport"/>
    <s v="Legal"/>
    <n v="21000"/>
    <n v="36.229008739817061"/>
    <n v="579.64599999999996"/>
    <s v="Roderlin"/>
    <s v="CA-M-R35"/>
    <s v="PALF"/>
    <x v="1"/>
    <s v="Congo"/>
    <m/>
    <m/>
    <m/>
  </r>
  <r>
    <x v="66"/>
    <s v="Ration et Frais d'hôtel  mission maitre Marie Helène à Owando du 19 au 22/03/2025 suivi audience cas EBI "/>
    <s v="Travel Subsistence"/>
    <s v="Legal"/>
    <n v="75000"/>
    <n v="129.38931692791809"/>
    <n v="579.64599999999996"/>
    <s v="Roderlin"/>
    <s v="CA-M-R36"/>
    <s v="PALF"/>
    <x v="1"/>
    <s v="Congo"/>
    <m/>
    <m/>
    <m/>
  </r>
  <r>
    <x v="66"/>
    <s v="Frais de transport mission à Owando de maitre Alain du 19au 21/03/2025 suivi audience à Owando"/>
    <s v="Transport"/>
    <s v="Legal"/>
    <n v="21000"/>
    <n v="36.229008739817061"/>
    <n v="579.64599999999996"/>
    <s v="Roderlin"/>
    <s v="CA-M-R37"/>
    <s v="PALF"/>
    <x v="1"/>
    <s v="Congo"/>
    <m/>
    <m/>
    <m/>
  </r>
  <r>
    <x v="66"/>
    <s v="Ration et Frais d'hôtel mission à Owando de maitre Alain du 19 au 21/03/2025 suivi audience à Owando "/>
    <s v="Travel Subsistence"/>
    <s v="Legal"/>
    <n v="50000"/>
    <n v="86.259544618612054"/>
    <n v="579.64599999999996"/>
    <s v="Roderlin"/>
    <s v="CA-M-R38"/>
    <s v="PALF"/>
    <x v="1"/>
    <s v="Congo"/>
    <m/>
    <m/>
    <m/>
  </r>
  <r>
    <x v="67"/>
    <s v="CREPIN - CONGO  Frais d'hôtel à Dolisie du 17 au 19/03/2025, 02 Nuitées"/>
    <s v="Travel Subsistence"/>
    <s v="Operations"/>
    <n v="30000"/>
    <n v="51.755726771167232"/>
    <n v="579.64599999999996"/>
    <s v="Crépin"/>
    <s v="CR-M-R5"/>
    <s v="PALF"/>
    <x v="1"/>
    <s v="Congo"/>
    <m/>
    <m/>
    <m/>
  </r>
  <r>
    <x v="67"/>
    <s v="Frais de transfert d'argent à Crepin, Evariste, Abraham, Romain et Donald-Romeo"/>
    <s v="Transfer Fees"/>
    <s v="Office"/>
    <n v="19830"/>
    <n v="34.210535395741545"/>
    <n v="579.64599999999996"/>
    <s v="Parfaite"/>
    <s v="CA-M-R39"/>
    <s v="PALF"/>
    <x v="1"/>
    <s v="Congo"/>
    <m/>
    <m/>
    <m/>
  </r>
  <r>
    <x v="67"/>
    <s v="Achat 05 Cartouche d'encre  HP Laser noire et couleur 216A"/>
    <s v="Office Materials"/>
    <s v="Office"/>
    <n v="300000"/>
    <n v="517.55726771167235"/>
    <n v="579.64599999999996"/>
    <s v="Parfaite"/>
    <s v="CA-M-R40"/>
    <s v="PALF"/>
    <x v="1"/>
    <s v="Congo"/>
    <m/>
    <m/>
    <m/>
  </r>
  <r>
    <x v="67"/>
    <s v="P29 -CONGO Frais d'hotel du 11 au 19/03/2025 à Dolisie (08 Nuitées)"/>
    <s v="Travel Subsistence"/>
    <s v="Investigations"/>
    <n v="120000"/>
    <n v="207.02290708466893"/>
    <n v="579.64599999999996"/>
    <s v="P29"/>
    <s v="P29-M-R2"/>
    <s v="PALF"/>
    <x v="1"/>
    <s v="Congo"/>
    <m/>
    <m/>
    <m/>
  </r>
  <r>
    <x v="67"/>
    <s v="Achat sim/T73"/>
    <s v="Investigation materials"/>
    <s v="Investigations"/>
    <n v="10000"/>
    <n v="17.251908923722411"/>
    <n v="579.64599999999996"/>
    <s v="T73"/>
    <s v="T73-M-R11"/>
    <s v="PALF"/>
    <x v="1"/>
    <s v="Congo"/>
    <m/>
    <m/>
    <m/>
  </r>
  <r>
    <x v="67"/>
    <s v="RODERLIN-CONGO Ration du 19 au 22/03/2025 à Owando (03 nuitées)"/>
    <s v="Travel Subsistence"/>
    <s v="Legal"/>
    <n v="30000"/>
    <n v="51.755726771167232"/>
    <n v="579.64599999999996"/>
    <s v="Roderlin"/>
    <s v="RO-M-D1"/>
    <s v="PALF"/>
    <x v="1"/>
    <s v="Congo"/>
    <m/>
    <m/>
    <m/>
  </r>
  <r>
    <x v="68"/>
    <s v="Fonds envoyés à un informateur"/>
    <s v="Trust Building"/>
    <s v="Investigations"/>
    <n v="31000"/>
    <n v="53.480917663539472"/>
    <n v="579.64599999999996"/>
    <s v="DOVI"/>
    <s v="DH-M-R3"/>
    <s v="PALF"/>
    <x v="1"/>
    <s v="Congo"/>
    <m/>
    <m/>
    <m/>
  </r>
  <r>
    <x v="68"/>
    <s v="Frais de transfert d'argent par western union à l'informateur"/>
    <s v="Transfer Fees"/>
    <s v="Office"/>
    <n v="2017"/>
    <n v="3.4797100299148105"/>
    <n v="579.64599999999996"/>
    <s v="DOVI"/>
    <s v="DH-M-R4"/>
    <s v="PALF"/>
    <x v="1"/>
    <s v="Congo"/>
    <m/>
    <m/>
    <m/>
  </r>
  <r>
    <x v="68"/>
    <s v="Achat billet Brazzaville - Mouyondzi/ IT87"/>
    <s v="Transport"/>
    <s v="Investigations"/>
    <n v="6000"/>
    <n v="10.351145354233447"/>
    <n v="579.64599999999996"/>
    <s v="IT87"/>
    <s v="IT87-M-R6"/>
    <s v="PALF"/>
    <x v="1"/>
    <s v="Congo"/>
    <m/>
    <m/>
    <m/>
  </r>
  <r>
    <x v="68"/>
    <s v="Frais de transfert d'argent à P29 et G12"/>
    <s v="Transfer Fees"/>
    <s v="Office"/>
    <n v="6320"/>
    <n v="10.903206439792564"/>
    <n v="579.64599999999996"/>
    <s v="G12"/>
    <s v="CA-M-R41"/>
    <s v="PALF"/>
    <x v="1"/>
    <s v="Congo"/>
    <m/>
    <m/>
    <m/>
  </r>
  <r>
    <x v="69"/>
    <s v="Frais de transfert d'argent à Crepin, Evariste, Abraham, Romain et Donald-Romeo"/>
    <s v="Transfer Fees"/>
    <s v="Office"/>
    <n v="14640"/>
    <n v="25.256794664329611"/>
    <n v="579.64599999999996"/>
    <s v="Parfaite"/>
    <s v="CA-M-R42"/>
    <s v="PALF"/>
    <x v="1"/>
    <s v="Congo"/>
    <m/>
    <m/>
    <m/>
  </r>
  <r>
    <x v="69"/>
    <s v="T73 - CONGO Rattion  du 21 au 28/03/2025 à Pointe-Noire,Moukondo,Banda  (07nuitées)"/>
    <s v="Travel Subsistence"/>
    <s v="Investigations"/>
    <n v="70000"/>
    <n v="120.76336246605688"/>
    <n v="579.64599999999996"/>
    <s v="T73"/>
    <s v="T73-M-D2"/>
    <s v="PALF"/>
    <x v="1"/>
    <s v="Congo"/>
    <m/>
    <m/>
    <m/>
  </r>
  <r>
    <x v="69"/>
    <s v="achat billet  Bazzaville - Pointe noire/T73"/>
    <s v="Transport"/>
    <s v="Investigations"/>
    <n v="9000"/>
    <n v="15.526718031350169"/>
    <n v="579.64599999999996"/>
    <s v="T73"/>
    <s v="T73-M-R12"/>
    <s v="PALF"/>
    <x v="1"/>
    <s v="Congo"/>
    <m/>
    <m/>
    <m/>
  </r>
  <r>
    <x v="69"/>
    <s v="IT87 - CONGO Ration  du 21 au 28/03/2025 à Mouyonzi et Bouansa "/>
    <s v="Travel Subsistence"/>
    <s v="Investigations"/>
    <n v="70000"/>
    <n v="120.76336246605688"/>
    <n v="579.64599999999996"/>
    <s v="IT87"/>
    <s v="IT87-M-D2"/>
    <s v="PALF"/>
    <x v="1"/>
    <s v="Congo"/>
    <m/>
    <m/>
    <m/>
  </r>
  <r>
    <x v="69"/>
    <s v="Achat billet Owando- Brazzaville /Roderlin"/>
    <s v="Transport"/>
    <s v="Legal"/>
    <n v="7000"/>
    <n v="12.076336246605688"/>
    <n v="579.64599999999996"/>
    <s v="Roderlin"/>
    <s v="RO-M-R2"/>
    <s v="PALF"/>
    <x v="1"/>
    <s v="Congo"/>
    <m/>
    <m/>
    <m/>
  </r>
  <r>
    <x v="70"/>
    <s v="Raffraichissement et plats pendant l'attente de l'opération"/>
    <s v="Travel Subsistence"/>
    <s v="Operations"/>
    <n v="11800"/>
    <n v="20.357252529992444"/>
    <n v="579.64599999999996"/>
    <s v="Crépin"/>
    <s v="CR-M-R6"/>
    <s v="PALF"/>
    <x v="1"/>
    <s v="Congo"/>
    <m/>
    <m/>
    <m/>
  </r>
  <r>
    <x v="70"/>
    <s v="Cumul frait de trust building du mois de Mars 2025/P29"/>
    <s v="Trust Building"/>
    <s v="Investigations"/>
    <n v="90100"/>
    <n v="155.43969940273894"/>
    <n v="579.64599999999996"/>
    <s v="P29"/>
    <s v="P29-M-D2"/>
    <s v="PALF"/>
    <x v="1"/>
    <s v="Congo"/>
    <m/>
    <m/>
    <m/>
  </r>
  <r>
    <x v="70"/>
    <s v="Location vehicule 1 pour extraction  de BS à l'aeroport/P29"/>
    <s v="Transport"/>
    <s v="Investigations"/>
    <n v="15000"/>
    <n v="25.877863385583616"/>
    <n v="579.64599999999996"/>
    <s v="P29"/>
    <s v="P29-M-R3"/>
    <s v="PALF"/>
    <x v="1"/>
    <s v="Congo"/>
    <m/>
    <m/>
    <m/>
  </r>
  <r>
    <x v="70"/>
    <s v="Location vehicule 2 pour extraction  de  l'aeroport à tsila/P29"/>
    <s v="Transport"/>
    <s v="Investigations"/>
    <n v="15000"/>
    <n v="25.877863385583616"/>
    <n v="579.64599999999996"/>
    <s v="P29"/>
    <s v="P29-M-R4"/>
    <s v="PALF"/>
    <x v="1"/>
    <s v="Congo"/>
    <m/>
    <m/>
    <m/>
  </r>
  <r>
    <x v="70"/>
    <s v="Location véhicule pour extraction Dolisie-Madingou/P29"/>
    <s v="Transport"/>
    <s v="Investigations"/>
    <n v="50000"/>
    <n v="86.259544618612054"/>
    <n v="579.64599999999996"/>
    <s v="P29"/>
    <s v="P29-M-R5"/>
    <s v="PALF"/>
    <x v="1"/>
    <s v="Congo"/>
    <m/>
    <m/>
    <m/>
  </r>
  <r>
    <x v="70"/>
    <s v="Achat billet madingou-brazzaville/P29"/>
    <s v="Transport"/>
    <s v="Investigations"/>
    <n v="7000"/>
    <n v="12.076336246605688"/>
    <n v="579.64599999999996"/>
    <s v="P29"/>
    <s v="P29-M-R6"/>
    <s v="PALF"/>
    <x v="1"/>
    <s v="Congo"/>
    <m/>
    <m/>
    <m/>
  </r>
  <r>
    <x v="70"/>
    <s v="G12 - CONGO Frais d'hotel du 07 au 22/03/2025 à Dolisie (15 Nuitées) "/>
    <s v="Travel Subsistence"/>
    <s v="Investigations"/>
    <n v="225000"/>
    <n v="388.16795078375424"/>
    <n v="579.64599999999996"/>
    <s v="G12"/>
    <s v="G12-M-R2"/>
    <s v="PALF"/>
    <x v="1"/>
    <s v="Congo"/>
    <m/>
    <m/>
    <m/>
  </r>
  <r>
    <x v="70"/>
    <s v="Achat billet Madingou - brazzaville/G12"/>
    <s v="Transport"/>
    <s v="Investigations"/>
    <n v="7000"/>
    <n v="12.076336246605688"/>
    <n v="579.64599999999996"/>
    <s v="G12"/>
    <s v="G12-M-R3"/>
    <s v="PALF"/>
    <x v="1"/>
    <s v="Congo"/>
    <m/>
    <m/>
    <m/>
  </r>
  <r>
    <x v="70"/>
    <s v="Rafraichissement en attente opération "/>
    <s v="Travel Subsistence"/>
    <s v="Operations"/>
    <n v="9600"/>
    <n v="16.561832566773514"/>
    <n v="579.64599999999996"/>
    <s v="Romain"/>
    <s v="RM-M-R3"/>
    <s v="PALF"/>
    <x v="1"/>
    <s v="Congo"/>
    <m/>
    <m/>
    <m/>
  </r>
  <r>
    <x v="70"/>
    <s v="Rafraîchissement attente OP"/>
    <s v="Travel Subsistence"/>
    <s v="Operations"/>
    <n v="8900"/>
    <n v="15.354198942112946"/>
    <n v="579.64599999999996"/>
    <s v="Abraham"/>
    <s v="AB-M-R4"/>
    <s v="PALF"/>
    <x v="1"/>
    <s v="Congo"/>
    <m/>
    <m/>
    <m/>
  </r>
  <r>
    <x v="70"/>
    <s v="RODERLIN-CONGO frais d'hôtel du 19 au 22/03/2025 à Owando (03 nuitées)"/>
    <s v="Travel Subsistence"/>
    <s v="Legal"/>
    <n v="45000"/>
    <n v="77.633590156750856"/>
    <n v="579.64599999999996"/>
    <s v="Roderlin"/>
    <s v="RO-M-R3"/>
    <s v="PALF"/>
    <x v="3"/>
    <s v="Congo"/>
    <m/>
    <m/>
    <m/>
  </r>
  <r>
    <x v="70"/>
    <s v="Achat carburant BJ OP"/>
    <s v="Transport"/>
    <s v="Operations"/>
    <n v="25000"/>
    <n v="43.129772309306027"/>
    <n v="579.64599999999996"/>
    <s v="Donald-Romeo"/>
    <s v="DR-M-R2"/>
    <s v="PALF"/>
    <x v="3"/>
    <s v="Congo"/>
    <m/>
    <m/>
    <m/>
  </r>
  <r>
    <x v="70"/>
    <s v="Raffraichissement OP  à Owando/10  gendarmes et moi"/>
    <s v="Travel Subsistence"/>
    <s v="Legal"/>
    <n v="19200"/>
    <n v="33.123665133547028"/>
    <n v="579.64599999999996"/>
    <s v="Donald-Romeo"/>
    <s v="DR-M-R3"/>
    <s v="PALF"/>
    <x v="3"/>
    <s v="Congo"/>
    <m/>
    <m/>
    <m/>
  </r>
  <r>
    <x v="70"/>
    <s v="Rafraichissement de mon équipe lors de l'opération"/>
    <s v="Travel Subsistence"/>
    <s v="Operations"/>
    <n v="9600"/>
    <n v="16.561832566773514"/>
    <n v="579.64599999999996"/>
    <s v="Evariste"/>
    <s v="EV-M-R2"/>
    <s v="PALF"/>
    <x v="3"/>
    <s v="Congo"/>
    <m/>
    <m/>
    <m/>
  </r>
  <r>
    <x v="71"/>
    <s v="P29 -CONGO Frais d'hotel du 19 au 23/03/2025 à Dolisie lieu op(P29) (04 Nuitées)"/>
    <s v="Travel Subsistence"/>
    <s v="Operations"/>
    <n v="140000"/>
    <n v="241.52672493211375"/>
    <n v="579.64599999999996"/>
    <s v="P29"/>
    <s v="P29-M-R7"/>
    <s v="PALF"/>
    <x v="3"/>
    <s v="Congo"/>
    <m/>
    <m/>
    <m/>
  </r>
  <r>
    <x v="71"/>
    <s v="P29 -CONGO Frais d'hotel du 19 au 23/03/2025 à Dolisie lieu op(Crépin) (04 Nuitées)"/>
    <s v="Travel Subsistence"/>
    <s v="Operations"/>
    <n v="140000"/>
    <n v="241.52672493211375"/>
    <n v="579.64599999999996"/>
    <s v="P29"/>
    <s v="P29-M-R8"/>
    <s v="PALF"/>
    <x v="3"/>
    <s v="Congo"/>
    <m/>
    <m/>
    <m/>
  </r>
  <r>
    <x v="72"/>
    <s v="Bonus de 18 gendarmes pour l'opération du 22/03/2025 à Dolisie"/>
    <s v="Bonus"/>
    <s v="Operations"/>
    <n v="180000"/>
    <n v="310.53436062700342"/>
    <n v="579.64599999999996"/>
    <s v="Crépin"/>
    <s v="CR-M-R7"/>
    <s v="PALF"/>
    <x v="1"/>
    <s v="Congo"/>
    <m/>
    <m/>
    <m/>
  </r>
  <r>
    <x v="72"/>
    <s v="Bonus de 02 EF pour l'opération du 22/03/2025 à Dolisie"/>
    <s v="Bonus"/>
    <s v="Operations"/>
    <n v="20000"/>
    <n v="34.503817847444822"/>
    <n v="579.64599999999996"/>
    <s v="Crépin"/>
    <s v="CR-M-R8"/>
    <s v="PALF"/>
    <x v="3"/>
    <s v="Congo"/>
    <m/>
    <m/>
    <m/>
  </r>
  <r>
    <x v="72"/>
    <s v="Frais de transfert d'argent  à crepin et IT87"/>
    <s v="Transfer Fees"/>
    <s v="Office"/>
    <n v="7780"/>
    <n v="13.421985142656036"/>
    <n v="579.64599999999996"/>
    <s v="Parfaite"/>
    <s v="CA-M-R44"/>
    <s v="PALF"/>
    <x v="1"/>
    <s v="Congo"/>
    <m/>
    <m/>
    <m/>
  </r>
  <r>
    <x v="72"/>
    <s v="Frais de transfert d'argent à  T73 par  momo"/>
    <s v="Transfer Fees"/>
    <s v="Office"/>
    <n v="6300"/>
    <n v="10.868702621945118"/>
    <n v="579.64599999999996"/>
    <s v="Parfaite"/>
    <s v="CA-M-R45"/>
    <s v="PALF"/>
    <x v="1"/>
    <s v="Congo"/>
    <m/>
    <m/>
    <m/>
  </r>
  <r>
    <x v="72"/>
    <s v="Frais de transport mission à Dolisie de maitre BANZOUZI Alain du 25/03/ au 05/04/2025 suivi audience"/>
    <s v="Transport"/>
    <s v="Legal"/>
    <n v="42000"/>
    <n v="72.458017479634123"/>
    <n v="579.64599999999996"/>
    <s v="Parfaite"/>
    <s v="CA-M-R46"/>
    <s v="PALF"/>
    <x v="3"/>
    <s v="Congo"/>
    <m/>
    <m/>
    <m/>
  </r>
  <r>
    <x v="72"/>
    <s v="P29 -CONGO Frais d'hotel du 22 au 24/03/2025 à Madingou (02 Nuitées)"/>
    <s v="Travel Subsistence"/>
    <s v="Investigations"/>
    <n v="30000"/>
    <n v="51.755726771167232"/>
    <n v="579.64599999999996"/>
    <s v="P29"/>
    <s v="P29-M-R9"/>
    <s v="PALF"/>
    <x v="3"/>
    <s v="Congo"/>
    <m/>
    <m/>
    <m/>
  </r>
  <r>
    <x v="72"/>
    <s v="Cumul frait de transport du mois de Mars 2025/P29"/>
    <s v="Transport"/>
    <s v="Investigations"/>
    <n v="68000"/>
    <n v="117.3129806813124"/>
    <n v="579.64599999999996"/>
    <s v="P29"/>
    <s v="P29-M-D3"/>
    <s v="PALF"/>
    <x v="3"/>
    <s v="Congo"/>
    <m/>
    <m/>
    <m/>
  </r>
  <r>
    <x v="72"/>
    <s v="achat billet Pointe Noire - Moukondo/T73"/>
    <s v="Transport"/>
    <s v="Investigations"/>
    <n v="5000"/>
    <n v="8.6259544618612054"/>
    <n v="579.64599999999996"/>
    <s v="T73"/>
    <s v="T73-M-R13"/>
    <s v="PALF"/>
    <x v="3"/>
    <s v="Congo"/>
    <m/>
    <m/>
    <m/>
  </r>
  <r>
    <x v="72"/>
    <s v="T73 - CONGO Frais d'hotel du 21 au 24/03/2025 (03 nuitées ) à Pointe noire"/>
    <s v="Travel Subsistence"/>
    <s v="Investigations"/>
    <n v="45000"/>
    <n v="77.633590156750856"/>
    <n v="579.64599999999996"/>
    <s v="T73"/>
    <s v="T73-M-R14"/>
    <s v="PALF"/>
    <x v="3"/>
    <s v="Congo"/>
    <m/>
    <m/>
    <m/>
  </r>
  <r>
    <x v="72"/>
    <s v="G12 - CONGO Frais d'hotel du 22 au 24/03/2025 à Madingou (02 Nuitées)"/>
    <s v="Travel Subsistence"/>
    <s v="Investigations"/>
    <n v="30000"/>
    <n v="51.755726771167232"/>
    <n v="579.64599999999996"/>
    <s v="G12"/>
    <s v="G12-M-R4"/>
    <s v="PALF"/>
    <x v="3"/>
    <s v="Congo"/>
    <m/>
    <m/>
    <m/>
  </r>
  <r>
    <x v="72"/>
    <s v="Achat produit d'entretien  et Main d'œuvre du groupe électrogène/Bureau PALF"/>
    <s v="Office Materials"/>
    <s v="Office"/>
    <n v="101000"/>
    <n v="174.24428012959635"/>
    <n v="579.64599999999996"/>
    <s v="Roderlin"/>
    <s v="CA-M-R43"/>
    <s v="PALF"/>
    <x v="3"/>
    <s v="Congo"/>
    <m/>
    <m/>
    <m/>
  </r>
  <r>
    <x v="72"/>
    <s v="Ration et frais d'hotel mission à Dolisie de maitre BANZOUZI Alain du 25/03/ au 05/04/2025 suivi audience "/>
    <s v="Travel Subsistence"/>
    <s v="Legal"/>
    <n v="275000"/>
    <n v="474.42749540236633"/>
    <n v="579.64599999999996"/>
    <s v="Roderlin"/>
    <s v="CA-M-R47"/>
    <s v="PALF"/>
    <x v="1"/>
    <s v="Congo"/>
    <m/>
    <m/>
    <m/>
  </r>
  <r>
    <x v="73"/>
    <s v="achat billet Moukondo - Banda/T73"/>
    <s v="Transport"/>
    <s v="Investigations"/>
    <n v="15000"/>
    <n v="25.877863385583616"/>
    <n v="579.64599999999996"/>
    <s v="T73"/>
    <s v="T73-M-R15"/>
    <s v="PALF"/>
    <x v="3"/>
    <s v="Congo"/>
    <m/>
    <m/>
    <m/>
  </r>
  <r>
    <x v="73"/>
    <s v="T73 - CONGO Frais d'hotel du 24 au 25/03/2025 (01nuitées) à Moukondo"/>
    <s v="Travel Subsistence"/>
    <s v="Investigations"/>
    <n v="15000"/>
    <n v="25.877863385583616"/>
    <n v="579.64599999999996"/>
    <s v="T73"/>
    <s v="T73-M-R16"/>
    <s v="PALF"/>
    <x v="3"/>
    <s v="Congo"/>
    <m/>
    <m/>
    <m/>
  </r>
  <r>
    <x v="73"/>
    <s v="achat carte sim "/>
    <s v="Investigation materials"/>
    <s v="Investigations"/>
    <n v="10000"/>
    <n v="17.251908923722411"/>
    <n v="579.64599999999996"/>
    <s v="G12"/>
    <s v="G12-M-R5"/>
    <s v="PALF"/>
    <x v="3"/>
    <s v="Congo"/>
    <m/>
    <m/>
    <m/>
  </r>
  <r>
    <x v="73"/>
    <s v="Frais de transfert d'argent à Crepin, Evariste, Abraham, Romain et Donald-Romeo"/>
    <s v="Transfer Fees"/>
    <s v="Office"/>
    <n v="11820"/>
    <n v="20.391756347839891"/>
    <n v="579.64599999999996"/>
    <s v="G12"/>
    <s v="CA-M-R48"/>
    <s v="PALF"/>
    <x v="3"/>
    <s v="Congo"/>
    <m/>
    <m/>
    <m/>
  </r>
  <r>
    <x v="74"/>
    <s v="Achat billet Dolisie-Brazzaville/Abraham"/>
    <s v="Transport"/>
    <s v="Legal"/>
    <n v="10000"/>
    <n v="17.251908923722411"/>
    <n v="579.64599999999996"/>
    <s v="Abraham"/>
    <s v="AB-M-R5"/>
    <s v="PALF"/>
    <x v="3"/>
    <s v="Congo"/>
    <m/>
    <m/>
    <m/>
  </r>
  <r>
    <x v="73"/>
    <s v="Cumul frais de Jails visits du mois de Mars 2025/Abraham"/>
    <s v="Jail visit"/>
    <s v="Legal"/>
    <n v="14000"/>
    <n v="24.152672493211377"/>
    <n v="579.64599999999996"/>
    <s v="Abraham"/>
    <s v="AB-M-D2"/>
    <s v="PALF"/>
    <x v="3"/>
    <s v="Congo"/>
    <m/>
    <m/>
    <m/>
  </r>
  <r>
    <x v="72"/>
    <s v="ABRAHAM - CONGO frais d'Hôtel (Hôtel La Gloire) du 17/03/2025 au 26/03/2025 Dolisie (09Nuitées)"/>
    <s v="Travel Subsistence"/>
    <s v="Legal"/>
    <n v="135000"/>
    <n v="232.90077047025255"/>
    <n v="579.64599999999996"/>
    <s v="Abraham"/>
    <s v="AB-M-R6"/>
    <s v="PALF"/>
    <x v="1"/>
    <s v="Congo"/>
    <m/>
    <m/>
    <m/>
  </r>
  <r>
    <x v="73"/>
    <s v="Achat carburant groupe electrogène Bureau"/>
    <s v="Office Materials"/>
    <s v="Office"/>
    <n v="25000"/>
    <n v="43.129772309306027"/>
    <n v="579.64599999999996"/>
    <s v="Roderlin"/>
    <s v="CA-M-R49"/>
    <s v="PALF"/>
    <x v="1"/>
    <s v="Congo"/>
    <m/>
    <m/>
    <m/>
  </r>
  <r>
    <x v="73"/>
    <s v="Paiement salaire du mois de Mars 2025/Homéfa DOVI/3654835"/>
    <s v="Personnel"/>
    <s v="Management"/>
    <n v="1311000"/>
    <n v="2261.725259900008"/>
    <n v="579.64599999999996"/>
    <s v="BCI"/>
    <s v="BQ-M-R23"/>
    <s v="PALF"/>
    <x v="1"/>
    <s v="Congo"/>
    <m/>
    <m/>
    <m/>
  </r>
  <r>
    <x v="73"/>
    <s v="Paiement salaire du mois de Mars 2025/BAVOUMINA NZOUSSI Dina Parfaite/365831"/>
    <s v="Personnel"/>
    <s v="Office"/>
    <n v="230000"/>
    <n v="396.79390524561546"/>
    <n v="579.64599999999996"/>
    <s v="BCI"/>
    <s v="BQ-M-R24"/>
    <s v="PALF"/>
    <x v="1"/>
    <s v="Congo"/>
    <m/>
    <m/>
    <m/>
  </r>
  <r>
    <x v="73"/>
    <s v="Paiement salaire du mois de Mars 2025/FOUMBA Roderlin/3654825"/>
    <s v="Personnel"/>
    <s v="Legal"/>
    <n v="200000"/>
    <n v="345.03817847444822"/>
    <n v="579.64599999999996"/>
    <s v="BCI"/>
    <s v="BQ-M-R25"/>
    <s v="PALF"/>
    <x v="1"/>
    <s v="Congo"/>
    <m/>
    <m/>
    <m/>
  </r>
  <r>
    <x v="73"/>
    <s v="Paiement salaire du mois de Mars 2025/BOUNGOU MAKOSSO Abraham/3654824"/>
    <s v="Personnel"/>
    <s v="Legal"/>
    <n v="200000"/>
    <n v="345.03817847444822"/>
    <n v="579.64599999999996"/>
    <s v="BCI"/>
    <s v="BQ-M-R26"/>
    <s v="PALF"/>
    <x v="1"/>
    <s v="Congo"/>
    <m/>
    <m/>
    <m/>
  </r>
  <r>
    <x v="73"/>
    <s v="Paiement salaire du mois de Mars 2025/LOUNDOU JeanRomain/3654832"/>
    <s v="Personnel"/>
    <s v="Legal"/>
    <n v="200000"/>
    <n v="345.03817847444822"/>
    <n v="579.64599999999996"/>
    <s v="BCI"/>
    <s v="BQ-M-R27"/>
    <s v="PALF"/>
    <x v="1"/>
    <s v="Congo"/>
    <m/>
    <m/>
    <m/>
  </r>
  <r>
    <x v="73"/>
    <s v="Paiement salaire du mois de Mars 2025/Crepin IBOUILI-IBOUILI"/>
    <s v="Personnel"/>
    <s v="Legal"/>
    <n v="551482"/>
    <n v="951.41172370722825"/>
    <n v="579.64599999999996"/>
    <s v="BCI"/>
    <s v="BQ-M-R28"/>
    <s v="PALF"/>
    <x v="1"/>
    <s v="Congo"/>
    <m/>
    <m/>
    <m/>
  </r>
  <r>
    <x v="73"/>
    <s v="Paiement salaire du mois de Mars 2025/Evariste LELOUSSI"/>
    <s v="Personnel"/>
    <s v="Media"/>
    <n v="238140"/>
    <n v="410.83695910952548"/>
    <n v="579.64599999999996"/>
    <s v="BCI"/>
    <s v="BQ-M-R29"/>
    <s v="PALF"/>
    <x v="1"/>
    <s v="Congo"/>
    <m/>
    <m/>
    <m/>
  </r>
  <r>
    <x v="73"/>
    <s v="Paiement salaire du mois de Mars 2025/PINDI BINGA Donald- Roméo"/>
    <s v="Personnel"/>
    <s v="Legal"/>
    <n v="193548"/>
    <n v="333.9072468368625"/>
    <n v="579.64599999999996"/>
    <s v="BCI"/>
    <s v="BQ-M-R30"/>
    <s v="PALF"/>
    <x v="1"/>
    <s v="Congo"/>
    <m/>
    <m/>
    <m/>
  </r>
  <r>
    <x v="74"/>
    <s v="Reglement prestation de nettoyage jardin PALF du mois de Février 2025"/>
    <s v="Services"/>
    <s v="Office"/>
    <n v="20000"/>
    <n v="34.503817847444822"/>
    <n v="579.64599999999996"/>
    <s v="Parfaite"/>
    <s v="CA-M-R50"/>
    <s v="PALF"/>
    <x v="1"/>
    <s v="Congo"/>
    <m/>
    <m/>
    <m/>
  </r>
  <r>
    <x v="74"/>
    <s v="IT87 - CONGO Frais d'hôtel  du 21 au 26/03/2025 à Mouyondzi (05 nuitées)"/>
    <s v="Travel Subsistence"/>
    <s v="Investigations"/>
    <n v="75000"/>
    <n v="129.38931692791809"/>
    <n v="579.64599999999996"/>
    <s v="IT87"/>
    <s v="IT87-M-R7"/>
    <s v="PALF"/>
    <x v="1"/>
    <s v="Congo"/>
    <m/>
    <m/>
    <m/>
  </r>
  <r>
    <x v="74"/>
    <s v="Achat billet Mouyondzi - Bouansa/ IT87"/>
    <s v="Transport"/>
    <s v="Investigations"/>
    <n v="3000"/>
    <n v="5.1755726771167234"/>
    <n v="579.64599999999996"/>
    <s v="IT87"/>
    <s v="IT87-M-R8"/>
    <s v="PALF"/>
    <x v="3"/>
    <s v="Congo"/>
    <m/>
    <m/>
    <m/>
  </r>
  <r>
    <x v="74"/>
    <s v="EVARISTE - CONGO Frais de l'hôtel du 17 au 26 mars 2025 à Dolisie (09 Nuitées)"/>
    <s v="Travel Subsistence"/>
    <s v="Operations"/>
    <n v="135000"/>
    <n v="232.90077047025255"/>
    <n v="579.64599999999996"/>
    <s v="Evariste"/>
    <s v="EV-M-R3"/>
    <s v="PALF"/>
    <x v="3"/>
    <s v="Congo"/>
    <m/>
    <m/>
    <m/>
  </r>
  <r>
    <x v="74"/>
    <s v="Achat Billet  Dolisie-Brazzaville/Evariste"/>
    <s v="Transport"/>
    <s v="Operations"/>
    <n v="10000"/>
    <n v="17.251908923722411"/>
    <n v="579.64599999999996"/>
    <s v="Evariste"/>
    <s v="EV-M-R4"/>
    <s v="PALF"/>
    <x v="3"/>
    <s v="Congo"/>
    <m/>
    <m/>
    <m/>
  </r>
  <r>
    <x v="74"/>
    <s v="Bonus media portant sur l'interpellation de 2 Présumés trafiquants le 22/03/205 à Dolisie"/>
    <s v="Bonus to media officer"/>
    <s v="Media"/>
    <n v="200000"/>
    <n v="345.03817847444822"/>
    <n v="579.64599999999996"/>
    <s v="Evariste"/>
    <s v="CA-M-D14"/>
    <s v="PALF"/>
    <x v="1"/>
    <s v="Congo"/>
    <m/>
    <m/>
    <m/>
  </r>
  <r>
    <x v="74"/>
    <s v="Frais de virement salaire du mois de Mars 2025"/>
    <s v="Bank fees"/>
    <s v="Office"/>
    <n v="52635"/>
    <n v="90.805422620012905"/>
    <n v="579.64599999999996"/>
    <s v="BCI"/>
    <s v="BQ-M-R32"/>
    <s v="PALF"/>
    <x v="3"/>
    <s v="Congo"/>
    <m/>
    <m/>
    <m/>
  </r>
  <r>
    <x v="75"/>
    <s v="T73 - CONGO Frais d'hotel du 25 au 27/03/20225 (02 nuitées) à Banda"/>
    <s v="Travel Subsistence"/>
    <s v="Investigations"/>
    <n v="30000"/>
    <n v="51.755726771167232"/>
    <n v="579.64599999999996"/>
    <s v="T73"/>
    <s v="T73-M-R17"/>
    <s v="PALF"/>
    <x v="3"/>
    <s v="Congo"/>
    <m/>
    <m/>
    <m/>
  </r>
  <r>
    <x v="75"/>
    <s v="achat billet/T73 : Banda - Loudima/T73"/>
    <s v="Transport"/>
    <s v="Investigations"/>
    <n v="15000"/>
    <n v="25.877863385583616"/>
    <n v="579.64599999999996"/>
    <s v="T73"/>
    <s v="T73-M-R18"/>
    <s v="PALF"/>
    <x v="3"/>
    <s v="Congo"/>
    <m/>
    <m/>
    <m/>
  </r>
  <r>
    <x v="75"/>
    <s v="Cumul frais de trust building du mois de Mars 2025/T73"/>
    <s v="Trust Building"/>
    <s v="Investigations"/>
    <n v="18000"/>
    <n v="31.053436062700339"/>
    <n v="579.64599999999996"/>
    <s v="T73"/>
    <s v="T73-M-D3"/>
    <s v="PALF"/>
    <x v="3"/>
    <s v="Congo"/>
    <m/>
    <m/>
    <m/>
  </r>
  <r>
    <x v="75"/>
    <s v="Achat du Billet Dolisie-Sibiti/Romain"/>
    <s v="Transport"/>
    <s v="Legal"/>
    <n v="8000"/>
    <n v="13.80152713897793"/>
    <n v="579.64599999999996"/>
    <s v="Romain"/>
    <s v="RM-M-R4"/>
    <s v="PALF"/>
    <x v="3"/>
    <s v="Congo"/>
    <m/>
    <m/>
    <m/>
  </r>
  <r>
    <x v="75"/>
    <s v="Frais d'impression de la procédure de la gendarmerie"/>
    <s v="Office Materials"/>
    <s v="Operations"/>
    <n v="28400"/>
    <n v="48.995421343371646"/>
    <n v="579.64599999999996"/>
    <s v="Donald-Romeo"/>
    <s v="DR-M-R4"/>
    <s v="PALF"/>
    <x v="3"/>
    <s v="Congo"/>
    <m/>
    <m/>
    <m/>
  </r>
  <r>
    <x v="76"/>
    <s v="ramassage Ordure du mois de Mars 2025/Bureau PALF"/>
    <s v="Services"/>
    <s v="Office"/>
    <n v="8000"/>
    <n v="13.80152713897793"/>
    <n v="579.64599999999996"/>
    <s v="Parfaite"/>
    <s v="CA-M-R51"/>
    <s v="PALF"/>
    <x v="3"/>
    <s v="Congo"/>
    <m/>
    <m/>
    <m/>
  </r>
  <r>
    <x v="76"/>
    <s v="Reglement prestation de nettoyage Bureau PALF du mois de Mars 2025"/>
    <s v="Services"/>
    <s v="Office"/>
    <n v="75625"/>
    <n v="130.46756123565072"/>
    <n v="579.64599999999996"/>
    <s v="Parfaite"/>
    <s v="CA-M-R53"/>
    <s v="PALF"/>
    <x v="3"/>
    <s v="Congo"/>
    <m/>
    <m/>
    <m/>
  </r>
  <r>
    <x v="76"/>
    <s v="T73 - CONGO Frais d'hotel du 24 au 25/03/2025 (01nuitées) à Loudima"/>
    <s v="Travel Subsistence"/>
    <s v="Investigations"/>
    <n v="15000"/>
    <n v="25.877863385583616"/>
    <n v="579.64599999999996"/>
    <s v="T73"/>
    <s v="T73-M-R19"/>
    <s v="PALF"/>
    <x v="3"/>
    <s v="Congo"/>
    <m/>
    <m/>
    <m/>
  </r>
  <r>
    <x v="76"/>
    <s v="achat billet Loudima - Brazzaville/T73"/>
    <s v="Transport"/>
    <s v="Investigations"/>
    <n v="7000"/>
    <n v="12.076336246605688"/>
    <n v="579.64599999999996"/>
    <s v="T73"/>
    <s v="T73-M-R20"/>
    <s v="PALF"/>
    <x v="1"/>
    <s v="Congo"/>
    <m/>
    <m/>
    <m/>
  </r>
  <r>
    <x v="76"/>
    <s v="IT87 - CONGO Frais d'hôtel du 26 au 28/03/2025 à Bouansa (02 nuitées)"/>
    <s v="Travel Subsistence"/>
    <s v="Investigations"/>
    <n v="30000"/>
    <n v="51.755726771167232"/>
    <n v="579.64599999999996"/>
    <s v="IT87"/>
    <s v="IT87-M-R9"/>
    <s v="PALF"/>
    <x v="1"/>
    <s v="Congo"/>
    <m/>
    <m/>
    <m/>
  </r>
  <r>
    <x v="76"/>
    <s v="Achat billet Bouansa - Brazzaville/ IT87"/>
    <s v="Transport"/>
    <s v="Investigations"/>
    <n v="7000"/>
    <n v="12.076336246605688"/>
    <n v="579.64599999999996"/>
    <s v="IT87"/>
    <s v="IT87-M-R10"/>
    <s v="PALF"/>
    <x v="1"/>
    <s v="Congo"/>
    <m/>
    <m/>
    <m/>
  </r>
  <r>
    <x v="76"/>
    <s v="Cumul frais de Jails visists du mois de Mars 2025/Romain"/>
    <s v="Jail visit"/>
    <s v="Legal"/>
    <n v="41500"/>
    <n v="71.595422033448003"/>
    <n v="579.64599999999996"/>
    <s v="Romain"/>
    <s v="RM-M-D3"/>
    <s v="PALF"/>
    <x v="1"/>
    <s v="Congo"/>
    <m/>
    <m/>
    <m/>
  </r>
  <r>
    <x v="76"/>
    <s v="Cumul frais de transport local du mois de Mars 2025/Abraham"/>
    <s v="Transport"/>
    <s v="Legal"/>
    <n v="35500"/>
    <n v="61.244276679214558"/>
    <n v="579.64599999999996"/>
    <s v="Abraham"/>
    <s v="AB-M-D3"/>
    <s v="PALF"/>
    <x v="1"/>
    <s v="Congo"/>
    <m/>
    <m/>
    <m/>
  </r>
  <r>
    <x v="76"/>
    <s v="Frais de transfert d'argent  à crepin et Donald-Roméo"/>
    <s v="Transfer Fees"/>
    <s v="Office"/>
    <n v="8825"/>
    <n v="15.224809625185028"/>
    <n v="579.64599999999996"/>
    <s v="Abraham"/>
    <s v="CA-M-R52"/>
    <s v="PALF"/>
    <x v="1"/>
    <s v="Congo"/>
    <m/>
    <m/>
    <m/>
  </r>
  <r>
    <x v="76"/>
    <s v="Cumul frais de Jails visits du mois de Mars 2025/Donald-Romeo"/>
    <s v="Jail visit"/>
    <s v="Legal"/>
    <n v="4000"/>
    <n v="6.9007635694889649"/>
    <n v="579.64599999999996"/>
    <s v="Donald-Romeo"/>
    <s v="DR-M-D2"/>
    <s v="PALF"/>
    <x v="1"/>
    <s v="Congo"/>
    <m/>
    <m/>
    <m/>
  </r>
  <r>
    <x v="76"/>
    <s v="Cumul frais de transport local du mois de Mars  2025 /Evariste "/>
    <s v="Transport"/>
    <s v="Media"/>
    <n v="43650"/>
    <n v="75.304582452048322"/>
    <n v="579.64599999999996"/>
    <s v="Evariste"/>
    <s v="EV-M-D2"/>
    <s v="PALF"/>
    <x v="1"/>
    <s v="Congo"/>
    <m/>
    <m/>
    <m/>
  </r>
  <r>
    <x v="76"/>
    <s v="Bonus media portant sur l'interpellation de 2 Présumés trafiquants le 22/03/205 à Dolisie"/>
    <s v="Bonus to media officer"/>
    <s v="Media"/>
    <n v="154000"/>
    <n v="265.67939742532513"/>
    <n v="579.64599999999996"/>
    <s v="Evariste"/>
    <s v="CA-M-D15"/>
    <s v="PALF"/>
    <x v="1"/>
    <s v="Congo"/>
    <m/>
    <m/>
    <m/>
  </r>
  <r>
    <x v="76"/>
    <s v="Reglement honoraire du mois de Mars 2025/P29/3654837"/>
    <s v="Personnel"/>
    <s v="Investigations"/>
    <n v="500000"/>
    <n v="862.59544618612051"/>
    <n v="579.64599999999996"/>
    <s v="BCI"/>
    <s v="BQ-M-R33"/>
    <s v="PALF"/>
    <x v="1"/>
    <s v="Congo"/>
    <m/>
    <m/>
    <m/>
  </r>
  <r>
    <x v="76"/>
    <s v="Reglement honoraire du mois de Mars 2025/G12/3654833"/>
    <s v="Personnel"/>
    <s v="Investigations"/>
    <n v="375000"/>
    <n v="646.94658463959047"/>
    <n v="579.64599999999996"/>
    <s v="BCI"/>
    <s v="BQ-M-R34"/>
    <s v="PALF"/>
    <x v="1"/>
    <s v="Congo"/>
    <m/>
    <m/>
    <m/>
  </r>
  <r>
    <x v="77"/>
    <s v="Bonus pour 12 Policiers ayant effectué le transferèment de Moussa Grâce de Mossendjo à Dolisie"/>
    <s v="Bonus"/>
    <s v="Operations"/>
    <n v="120000"/>
    <n v="207.02290708466893"/>
    <n v="579.64599999999996"/>
    <s v="Crépin"/>
    <s v="CR-M-R9"/>
    <s v="PALF"/>
    <x v="1"/>
    <s v="Congo"/>
    <m/>
    <m/>
    <m/>
  </r>
  <r>
    <x v="77"/>
    <s v="Ration pour 12 policiers moyennant 5000 par policier ayant effectué le transferèment de Mossendjo à Dolisie"/>
    <s v="Travel Subsistence"/>
    <s v="Operations"/>
    <n v="60000"/>
    <n v="103.51145354233446"/>
    <n v="579.64599999999996"/>
    <s v="Crépin"/>
    <s v="CR-M-R10"/>
    <s v="PALF"/>
    <x v="1"/>
    <s v="Congo"/>
    <m/>
    <m/>
    <m/>
  </r>
  <r>
    <x v="77"/>
    <s v="Carburant aller de la BJ Mossendjo-Dolisie pour le transferèment"/>
    <s v="Transport"/>
    <s v="Operations"/>
    <n v="46875"/>
    <n v="80.868323079948809"/>
    <n v="579.64599999999996"/>
    <s v="Crépin"/>
    <s v="CR-M-R11"/>
    <s v="PALF"/>
    <x v="1"/>
    <s v="Congo"/>
    <m/>
    <m/>
    <m/>
  </r>
  <r>
    <x v="77"/>
    <s v="Carburant retour de la BJ Dolisie-Mossendjo apès le transferèment"/>
    <s v="Transport"/>
    <s v="Operations"/>
    <n v="46875"/>
    <n v="80.868323079948809"/>
    <n v="579.64599999999996"/>
    <s v="Crépin"/>
    <s v="CR-M-R12"/>
    <s v="PALF"/>
    <x v="1"/>
    <s v="Congo"/>
    <m/>
    <m/>
    <m/>
  </r>
  <r>
    <x v="77"/>
    <s v="Cumul frais de transport local du mois de Mars 2025/CREPIN"/>
    <s v="Transport"/>
    <s v="Legal"/>
    <n v="40000"/>
    <n v="69.007635694889643"/>
    <n v="579.64599999999996"/>
    <s v="Crépin"/>
    <s v="CR-M-D3"/>
    <s v="PALF"/>
    <x v="1"/>
    <s v="Congo"/>
    <m/>
    <m/>
    <m/>
  </r>
  <r>
    <x v="77"/>
    <s v="Cumul frais de transport local du mois de Mars 2025/T73"/>
    <s v="Transport"/>
    <s v="Investigations"/>
    <n v="83200"/>
    <n v="143.53588224537046"/>
    <n v="579.64599999999996"/>
    <s v="T73"/>
    <s v="T73-M-D4"/>
    <s v="PALF"/>
    <x v="1"/>
    <s v="Congo"/>
    <m/>
    <m/>
    <m/>
  </r>
  <r>
    <x v="75"/>
    <s v="ROMAIN - CONGO Frais d'hotel du 17/03/ au 27/03/2025 à Dolisie (10 nuitées)"/>
    <s v="Travel Subsistence"/>
    <s v="Legal"/>
    <n v="150000"/>
    <n v="258.77863385583618"/>
    <n v="579.64599999999996"/>
    <s v="Romain"/>
    <s v="RM-M-R5"/>
    <s v="PALF"/>
    <x v="1"/>
    <s v="Congo"/>
    <m/>
    <m/>
    <m/>
  </r>
  <r>
    <x v="77"/>
    <s v="ROMAIN - CONGO Frais d'hotel du 27/03/ au 29/03/2025 à Sibiti(02 nuitées)"/>
    <s v="Travel Subsistence"/>
    <s v="Legal"/>
    <n v="30000"/>
    <n v="51.755726771167232"/>
    <n v="579.64599999999996"/>
    <s v="Romain"/>
    <s v="RM-M-R6"/>
    <s v="PALF"/>
    <x v="1"/>
    <s v="Congo"/>
    <m/>
    <m/>
    <m/>
  </r>
  <r>
    <x v="77"/>
    <s v="Billet SIBITI- Nkayi/Romain "/>
    <s v="Transport"/>
    <s v="Legal"/>
    <n v="6000"/>
    <n v="10.351145354233447"/>
    <n v="579.64599999999996"/>
    <s v="Romain"/>
    <s v="RM-M-R7"/>
    <s v="PALF"/>
    <x v="1"/>
    <s v="Congo"/>
    <m/>
    <m/>
    <m/>
  </r>
  <r>
    <x v="77"/>
    <s v="Billet Nkayi-Brazzaville/Romain"/>
    <s v="Transport"/>
    <s v="Legal"/>
    <n v="7000"/>
    <n v="12.076336246605688"/>
    <n v="579.64599999999996"/>
    <s v="Romain"/>
    <s v="RM-M-R8"/>
    <s v="PALF"/>
    <x v="1"/>
    <s v="Congo"/>
    <m/>
    <m/>
    <m/>
  </r>
  <r>
    <x v="77"/>
    <s v="Cumul frais de transport local du mois de Mars 2025/Romain "/>
    <s v="Transport"/>
    <s v="Legal"/>
    <n v="49400"/>
    <n v="85.224430083188707"/>
    <n v="579.64599999999996"/>
    <s v="Romain"/>
    <s v="RM-M-D4"/>
    <s v="PALF"/>
    <x v="1"/>
    <s v="Congo"/>
    <m/>
    <m/>
    <m/>
  </r>
  <r>
    <x v="78"/>
    <s v="Cumul frais de transport local du mois de Mars 2025/DOVI"/>
    <s v="Transport"/>
    <s v="Management"/>
    <n v="61000"/>
    <n v="105.2366444347067"/>
    <n v="579.64599999999996"/>
    <s v="DOVI"/>
    <s v="DH-M-D1"/>
    <s v="PALF"/>
    <x v="1"/>
    <s v="Congo"/>
    <m/>
    <m/>
    <m/>
  </r>
  <r>
    <x v="78"/>
    <s v="Cumul frais de transfert local du mois de Mars 2025/Parfaite"/>
    <s v="Transport"/>
    <s v="Office"/>
    <n v="35500"/>
    <n v="61.244276679214558"/>
    <n v="579.64599999999996"/>
    <s v="Parfaite"/>
    <s v="P-M-D1"/>
    <s v="PALF"/>
    <x v="1"/>
    <s v="Congo"/>
    <m/>
    <m/>
    <m/>
  </r>
  <r>
    <x v="78"/>
    <s v="Reglement facture internet periode du 01/04 au 30/04/2025 bureau PALF"/>
    <s v="Internet"/>
    <s v="Office"/>
    <n v="45050"/>
    <n v="77.719849701369469"/>
    <n v="579.64599999999996"/>
    <s v="Parfaite"/>
    <s v="CA-M-R54"/>
    <s v="PALF"/>
    <x v="1"/>
    <s v="Congo"/>
    <m/>
    <m/>
    <m/>
  </r>
  <r>
    <x v="78"/>
    <s v="Cumul frais de trust building du mois de Mars 2025/IT87"/>
    <s v="Trust Building"/>
    <s v="Investigations"/>
    <n v="30100"/>
    <n v="51.928245860404459"/>
    <n v="579.64599999999996"/>
    <s v="IT87"/>
    <s v="IT87-M-D3"/>
    <s v="PALF"/>
    <x v="1"/>
    <s v="Congo"/>
    <m/>
    <m/>
    <m/>
  </r>
  <r>
    <x v="78"/>
    <s v="Cumul frais de transport local du mois de Mars 2025/IT87"/>
    <s v="Transport"/>
    <s v="Investigations"/>
    <n v="89800"/>
    <n v="154.92214213502726"/>
    <n v="579.64599999999996"/>
    <s v="IT87"/>
    <s v="IT87-M-D4"/>
    <s v="PALF"/>
    <x v="1"/>
    <s v="Congo"/>
    <m/>
    <m/>
    <m/>
  </r>
  <r>
    <x v="78"/>
    <s v="Cumul transport local du mois de Mars 2025/G12"/>
    <s v="Transport"/>
    <s v="Investigations"/>
    <n v="50500"/>
    <n v="87.122140064798174"/>
    <n v="579.64599999999996"/>
    <s v="G12"/>
    <s v="G12-M-D3"/>
    <s v="PALF"/>
    <x v="1"/>
    <s v="Congo"/>
    <m/>
    <m/>
    <m/>
  </r>
  <r>
    <x v="78"/>
    <s v="Cumul frais de transport local du mois de Mars 2025/Roderlin "/>
    <s v="Transport"/>
    <s v="Legal"/>
    <n v="53000"/>
    <n v="91.435117295728773"/>
    <n v="579.64599999999996"/>
    <s v="Roderlin"/>
    <s v="RO-M-D2"/>
    <s v="PALF"/>
    <x v="1"/>
    <s v="Congo"/>
    <m/>
    <m/>
    <m/>
  </r>
  <r>
    <x v="78"/>
    <s v="Frais de transfert d'argent à Crepin, Me Alain et Donald-Romeo"/>
    <s v="Transfer Fees"/>
    <s v="Office"/>
    <n v="16890"/>
    <n v="29.138474172167154"/>
    <n v="579.64599999999996"/>
    <s v="Roderlin"/>
    <s v="CA-M-R55"/>
    <s v="PALF"/>
    <x v="1"/>
    <s v="Congo"/>
    <m/>
    <m/>
    <m/>
  </r>
  <r>
    <x v="78"/>
    <s v="Cumul frais de transport local du mois de Mars 2025/Donald-Romeo"/>
    <s v="Transport"/>
    <s v="Legal"/>
    <n v="33000"/>
    <n v="56.931299448283958"/>
    <n v="579.64599999999996"/>
    <s v="Donald-Romeo"/>
    <s v="DR-M-D3"/>
    <s v="PALF"/>
    <x v="1"/>
    <s v="Congo"/>
    <m/>
    <m/>
    <m/>
  </r>
  <r>
    <x v="78"/>
    <s v="Reglement honoraire du mois de Mars 2025/T73/3654829"/>
    <s v="Personnel"/>
    <s v="Investigations"/>
    <n v="255000"/>
    <n v="439.92367755492148"/>
    <n v="579.64599999999996"/>
    <s v="BCI"/>
    <s v="BQ-M-R35"/>
    <s v="PALF"/>
    <x v="1"/>
    <s v="Congo"/>
    <m/>
    <m/>
    <m/>
  </r>
  <r>
    <x v="78"/>
    <s v="Reglement honoraire du mois de Mars 2025/IT87/3654827"/>
    <s v="Personnel"/>
    <s v="Investigations"/>
    <n v="255000"/>
    <n v="439.92367755492148"/>
    <n v="579.64599999999996"/>
    <s v="BCI"/>
    <s v="BQ-M-R36"/>
    <s v="PALF"/>
    <x v="1"/>
    <s v="Congo"/>
    <m/>
    <m/>
    <m/>
  </r>
  <r>
    <x v="79"/>
    <s v="Paiement  frais d'inscription et mensuel de la formation en informatique"/>
    <s v="Training"/>
    <s v="Team Building"/>
    <n v="28000"/>
    <n v="48.305344986422753"/>
    <n v="579.64599999999996"/>
    <s v="G12"/>
    <s v="G12-A-R1"/>
    <s v="PALF"/>
    <x v="1"/>
    <s v="Congo"/>
    <m/>
    <m/>
    <m/>
  </r>
  <r>
    <x v="79"/>
    <s v="Achat billet Brazzaville-Owando/ Roderlin"/>
    <s v="Transport"/>
    <s v="Legal"/>
    <n v="7000"/>
    <n v="12.076336246605688"/>
    <n v="579.64599999999996"/>
    <s v="Roderlin"/>
    <s v="RO-A-R1"/>
    <s v="PALF"/>
    <x v="1"/>
    <s v="Congo"/>
    <m/>
    <m/>
    <m/>
  </r>
  <r>
    <x v="79"/>
    <s v="Frais de transport mission Maitre Hélene à Owando du 02 au 04/04/2025"/>
    <s v="Transport"/>
    <s v="Legal"/>
    <n v="21000"/>
    <n v="36.229008739817061"/>
    <n v="579.64599999999996"/>
    <s v="Roderlin"/>
    <s v="CA-A-R1"/>
    <s v="PALF"/>
    <x v="1"/>
    <s v="Congo"/>
    <m/>
    <m/>
    <m/>
  </r>
  <r>
    <x v="79"/>
    <s v="Ration et frais d'hotel mission maitre Hélene à Owando du 02au 04/04/2025"/>
    <s v="Travel Subsistence"/>
    <s v="Legal"/>
    <n v="50000"/>
    <n v="86.259544618612054"/>
    <n v="579.64599999999996"/>
    <s v="Roderlin"/>
    <s v="CA-A-R2"/>
    <s v="PALF"/>
    <x v="1"/>
    <s v="Congo"/>
    <m/>
    <m/>
    <m/>
  </r>
  <r>
    <x v="79"/>
    <s v="Reglement Facture Gardiennage Mois de Mars 2025/3654828"/>
    <s v="Services"/>
    <s v="Office"/>
    <n v="260000"/>
    <n v="448.54963201678271"/>
    <n v="579.64599999999996"/>
    <s v="BCI"/>
    <s v="BQ-A-R16"/>
    <s v="PALF"/>
    <x v="1"/>
    <s v="Congo"/>
    <m/>
    <m/>
    <m/>
  </r>
  <r>
    <x v="80"/>
    <s v="Achat credit  teléphonique MTN/PALF/Première partie du mois d'Avril 2025/Investigation"/>
    <s v="Telephone"/>
    <s v="Investigations"/>
    <n v="88000"/>
    <n v="151.81679852875723"/>
    <n v="579.64599999999996"/>
    <s v="Parfaite"/>
    <s v="CA-A-R5"/>
    <s v="PALF"/>
    <x v="1"/>
    <s v="Congo"/>
    <m/>
    <m/>
    <m/>
  </r>
  <r>
    <x v="80"/>
    <s v="Achat credit  teléphonique MTN/PALF/Première partie du mois d'Avril 2025/Media"/>
    <s v="Telephone"/>
    <s v="Media"/>
    <n v="10000"/>
    <n v="17.251908923722411"/>
    <n v="579.64599999999996"/>
    <s v="Parfaite"/>
    <s v="CA-A-R6"/>
    <s v="PALF"/>
    <x v="1"/>
    <s v="Congo"/>
    <m/>
    <m/>
    <m/>
  </r>
  <r>
    <x v="80"/>
    <s v="Achat credit  teléphonique Airtel/PALF/Première partie du mois d'Avril 2025/Legal"/>
    <s v="Telephone"/>
    <s v="Legal"/>
    <n v="10000"/>
    <n v="17.251908923722411"/>
    <n v="579.64599999999996"/>
    <s v="Parfaite"/>
    <s v="CA-A-R7"/>
    <s v="PALF"/>
    <x v="1"/>
    <s v="Congo"/>
    <m/>
    <m/>
    <m/>
  </r>
  <r>
    <x v="80"/>
    <s v="Achat credit  teléphonique Airtel/PALF/Première partie du mois d'Avril 2025/Investigation"/>
    <s v="Telephone"/>
    <s v="Investigations"/>
    <n v="16000"/>
    <n v="27.603054277955859"/>
    <n v="579.64599999999996"/>
    <s v="Parfaite"/>
    <s v="CA-A-R8"/>
    <s v="PALF"/>
    <x v="1"/>
    <s v="Congo"/>
    <m/>
    <m/>
    <m/>
  </r>
  <r>
    <x v="80"/>
    <s v="Achat credit  teléphonique Airtel/PALF/Première partie du mois d'Avril 2025/Media"/>
    <s v="Telephone"/>
    <s v="Media"/>
    <n v="11000"/>
    <n v="18.977099816094654"/>
    <n v="579.64599999999996"/>
    <s v="Parfaite"/>
    <s v="CA-A-R9"/>
    <s v="PALF"/>
    <x v="1"/>
    <s v="Congo"/>
    <m/>
    <m/>
    <m/>
  </r>
  <r>
    <x v="80"/>
    <s v="Roderlin-CONGO Ration du 02 au 04/04/2025 à Owando "/>
    <s v="Travel Subsistence"/>
    <s v="Legal"/>
    <n v="20000"/>
    <n v="34.503817847444822"/>
    <n v="579.64599999999996"/>
    <s v="Roderlin"/>
    <s v="RO-A-D1"/>
    <s v="PALF"/>
    <x v="1"/>
    <s v="Congo"/>
    <m/>
    <m/>
    <m/>
  </r>
  <r>
    <x v="80"/>
    <s v="Achat credit  teléphonique MTN/PALF/Première partie du mois d'Avril 2025/Management"/>
    <s v="Telephone"/>
    <s v="Management"/>
    <n v="42000"/>
    <n v="72.052412983844818"/>
    <n v="582.90899999999999"/>
    <s v="Parfaite"/>
    <s v="CA-A-R3"/>
    <s v="PALF"/>
    <x v="5"/>
    <s v="Congo"/>
    <m/>
    <m/>
    <m/>
  </r>
  <r>
    <x v="80"/>
    <s v="RAPATRIEME01100NRAO00010782"/>
    <s v="Grant"/>
    <m/>
    <m/>
    <n v="0"/>
    <n v="582.90859999999998"/>
    <s v="BCI"/>
    <s v="BQ-A-G1"/>
    <s v="PALF"/>
    <x v="5"/>
    <s v="Congo"/>
    <n v="17487258"/>
    <n v="30000"/>
    <m/>
  </r>
  <r>
    <x v="80"/>
    <s v="Achat credit  teléphonique MTN/PALF/Première partie du mois d'Avril 2025/Legal"/>
    <s v="Telephone"/>
    <s v="Legal"/>
    <n v="95000"/>
    <n v="162.97569603488711"/>
    <n v="582.90899999999999"/>
    <s v="Parfaite"/>
    <s v="CA-A-R4"/>
    <s v="PALF"/>
    <x v="5"/>
    <s v="Congo"/>
    <m/>
    <m/>
    <m/>
  </r>
  <r>
    <x v="81"/>
    <s v="Paiement frais de formation mensuel/formation en anglais"/>
    <s v="Training"/>
    <s v="Team Building"/>
    <n v="50000"/>
    <n v="86.259544618612054"/>
    <n v="579.64599999999996"/>
    <s v="T73"/>
    <s v="T73-A-R1"/>
    <s v="PALF"/>
    <x v="3"/>
    <s v="Congo"/>
    <m/>
    <m/>
    <m/>
  </r>
  <r>
    <x v="81"/>
    <s v="Achat billet Brazzaville-Madingou/P29"/>
    <s v="Transport"/>
    <s v="Investigations"/>
    <n v="7000"/>
    <n v="12.00873549730747"/>
    <n v="582.90899999999999"/>
    <s v="P29"/>
    <s v="P29-A-R1"/>
    <s v="PALF"/>
    <x v="5"/>
    <s v="Congo"/>
    <m/>
    <m/>
    <m/>
  </r>
  <r>
    <x v="81"/>
    <s v="Achat billet Brazzaville - Madingou/ IT87"/>
    <s v="Transport"/>
    <s v="Investigations"/>
    <n v="7000"/>
    <n v="12.076336246605688"/>
    <n v="579.64599999999996"/>
    <s v="IT87"/>
    <s v="IT87-A-R1"/>
    <s v="PALF"/>
    <x v="3"/>
    <s v="Congo"/>
    <m/>
    <m/>
    <m/>
  </r>
  <r>
    <x v="82"/>
    <s v="Achat billet Owando- Brazzaville / Roderlin"/>
    <s v="Transport"/>
    <s v="Legal"/>
    <n v="7000"/>
    <n v="12.076336246605688"/>
    <n v="579.64599999999996"/>
    <s v="Roderlin"/>
    <s v="RO-A-R2"/>
    <s v="PALF"/>
    <x v="3"/>
    <s v="Congo"/>
    <m/>
    <m/>
    <m/>
  </r>
  <r>
    <x v="82"/>
    <s v="P29 - CONGO Ration  du 04 au 18/04/2025 à Madingou (14Nuitées)"/>
    <s v="Travel Subsistence"/>
    <s v="Investigations"/>
    <n v="140000"/>
    <n v="241.52672493211375"/>
    <n v="579.64599999999996"/>
    <s v="P29"/>
    <s v="P29-A-D1"/>
    <s v="PALF"/>
    <x v="3"/>
    <s v="Congo"/>
    <m/>
    <m/>
    <m/>
  </r>
  <r>
    <x v="82"/>
    <s v="IT87-CONGO Ration du 04 au 18/04/2025 à Madingou"/>
    <s v="Travel Subsistence"/>
    <s v="Investigations"/>
    <n v="140000"/>
    <n v="241.52672493211375"/>
    <n v="579.64599999999996"/>
    <s v="IT87"/>
    <s v="IT87-A-D1"/>
    <s v="PALF"/>
    <x v="3"/>
    <s v="Congo"/>
    <m/>
    <m/>
    <m/>
  </r>
  <r>
    <x v="82"/>
    <s v="Roderlin-CONGO frais d'hôtel du 02 au 04/04/2025 à Owando (02 nuitées)"/>
    <s v="Travel Subsistence"/>
    <s v="Legal"/>
    <n v="30000"/>
    <n v="51.755726771167232"/>
    <n v="579.64599999999996"/>
    <s v="Roderlin"/>
    <s v="RO-A-R3"/>
    <s v="PALF"/>
    <x v="3"/>
    <s v="Congo"/>
    <m/>
    <m/>
    <m/>
  </r>
  <r>
    <x v="82"/>
    <s v="Bonus media portant sur l'interpellation de 2 Présumés trafiquants le 04/04/205 à Dolisie"/>
    <s v="Bonus to media officer"/>
    <s v="Media"/>
    <n v="122000"/>
    <n v="210.47328886941341"/>
    <n v="579.64599999999996"/>
    <s v="Evariste"/>
    <s v="CA-A-D1"/>
    <s v="PALF"/>
    <x v="3"/>
    <s v="Congo"/>
    <m/>
    <m/>
    <m/>
  </r>
  <r>
    <x v="83"/>
    <s v="Achat billet Dolisie-Brazzaville/ Donald-Roméo"/>
    <s v="Transport "/>
    <s v="Legal"/>
    <n v="10000"/>
    <n v="17.251908923722411"/>
    <n v="579.64599999999996"/>
    <s v="Donald-Romeo"/>
    <s v="DR-A-R1"/>
    <s v="PALF"/>
    <x v="3"/>
    <s v="Congo"/>
    <m/>
    <m/>
    <m/>
  </r>
  <r>
    <x v="83"/>
    <s v="CREPIN -CONGO Fais l'hôtel du 22/03/ au 05/04/2025 à Dolisie (14 nuitées)"/>
    <s v="Travel Subsistence"/>
    <s v="Legal"/>
    <n v="210000"/>
    <n v="360.26206491922409"/>
    <n v="582.90899999999999"/>
    <s v="Crépin"/>
    <s v="CR-A-R1"/>
    <s v="PALF"/>
    <x v="5"/>
    <s v="Congo"/>
    <m/>
    <m/>
    <m/>
  </r>
  <r>
    <x v="83"/>
    <s v="Achat billet Dolisie-Brazzaville/Crépin"/>
    <s v="Transport"/>
    <s v="Legal"/>
    <n v="10000"/>
    <n v="17.155336424724958"/>
    <n v="582.90899999999999"/>
    <s v="Crépin"/>
    <s v="CR-A-R2"/>
    <s v="PALF"/>
    <x v="5"/>
    <s v="Congo"/>
    <m/>
    <m/>
    <m/>
  </r>
  <r>
    <x v="83"/>
    <s v="Cumul frais de trust building du mois d'Avril 2025/IT87"/>
    <s v="Trust Building"/>
    <s v="Investigations"/>
    <n v="10500"/>
    <n v="18.013103245961204"/>
    <n v="582.90899999999999"/>
    <s v="IT87"/>
    <s v="IT87-A-D2"/>
    <s v="PALF"/>
    <x v="5"/>
    <s v="Congo"/>
    <m/>
    <m/>
    <m/>
  </r>
  <r>
    <x v="83"/>
    <s v="DONALD ROMEO- CONGO Frais d'hôtel  du 17/03/ au 05/04/2025 à Dolisie (19 Nuitées)"/>
    <s v="Travel Subsistence"/>
    <s v="Legal"/>
    <n v="285000"/>
    <n v="488.92708810466127"/>
    <n v="582.90899999999999"/>
    <s v="Donald-Romeo"/>
    <s v="DR-A-R2"/>
    <s v="PALF"/>
    <x v="5"/>
    <s v="Congo"/>
    <m/>
    <m/>
    <m/>
  </r>
  <r>
    <x v="84"/>
    <s v="Bonus du mois de Mars 2025/Crepin"/>
    <s v="Personnel"/>
    <s v="Legal"/>
    <n v="30000"/>
    <n v="51.466009274174873"/>
    <n v="582.90899999999999"/>
    <s v="Parfaite"/>
    <s v="CA-A-D2"/>
    <s v="PALF"/>
    <x v="5"/>
    <s v="Congo"/>
    <m/>
    <m/>
    <m/>
  </r>
  <r>
    <x v="84"/>
    <s v="Bonus operation du 22/03/2025 à Dolisie/Crepin"/>
    <s v="Bonus"/>
    <s v="Operations"/>
    <n v="40000"/>
    <n v="68.62134569889983"/>
    <n v="582.90899999999999"/>
    <s v="Parfaite"/>
    <s v="CA-A-D3"/>
    <s v="PALF"/>
    <x v="5"/>
    <s v="Congo"/>
    <m/>
    <m/>
    <m/>
  </r>
  <r>
    <x v="85"/>
    <s v="Règlement loyer du mois d'Avril 2025/DOVI/Coordinateur PALF"/>
    <s v="Personnel"/>
    <s v="Management"/>
    <n v="174625"/>
    <n v="299.57506231675956"/>
    <n v="582.90899999999999"/>
    <s v="DOVI"/>
    <s v="DH-A-R1"/>
    <s v="PALF"/>
    <x v="5"/>
    <s v="Congo"/>
    <m/>
    <m/>
    <m/>
  </r>
  <r>
    <x v="85"/>
    <s v="Bonus à un informateur en RDC"/>
    <s v="Trust Building"/>
    <s v="Investigations"/>
    <n v="67051"/>
    <n v="115.02824626142331"/>
    <n v="582.90899999999999"/>
    <s v="DOVI"/>
    <s v="CA-A-R10"/>
    <s v="PALF"/>
    <x v="5"/>
    <s v="Congo"/>
    <m/>
    <m/>
    <m/>
  </r>
  <r>
    <x v="85"/>
    <s v="Bonus du mois de Mars 2025/Parfaite"/>
    <s v="Personnel"/>
    <s v="Management"/>
    <n v="30000"/>
    <n v="51.466009274174873"/>
    <n v="582.90899999999999"/>
    <s v="Parfaite"/>
    <s v="CA-A-D4"/>
    <s v="PALF"/>
    <x v="5"/>
    <s v="Congo"/>
    <m/>
    <m/>
    <m/>
  </r>
  <r>
    <x v="85"/>
    <s v="Bonus du mois de Mars 2025/Romain"/>
    <s v="Personnel"/>
    <s v="Legal"/>
    <n v="30000"/>
    <n v="51.466009274174873"/>
    <n v="582.90899999999999"/>
    <s v="Parfaite"/>
    <s v="CA-A-D5"/>
    <s v="PALF"/>
    <x v="5"/>
    <s v="Congo"/>
    <m/>
    <m/>
    <m/>
  </r>
  <r>
    <x v="85"/>
    <s v="Bonus du mois de Mars 2025/Donal-Roméo"/>
    <s v="Personnel"/>
    <s v="Legal"/>
    <n v="20500"/>
    <n v="35.168439670686162"/>
    <n v="582.90899999999999"/>
    <s v="Parfaite"/>
    <s v="CA-A-D6"/>
    <s v="PALF"/>
    <x v="5"/>
    <s v="Congo"/>
    <m/>
    <m/>
    <m/>
  </r>
  <r>
    <x v="85"/>
    <s v="Bonus du mois de Mars 2025/Abraham"/>
    <s v="Personnel"/>
    <s v="Legal"/>
    <n v="30000"/>
    <n v="51.466009274174873"/>
    <n v="582.90899999999999"/>
    <s v="Parfaite"/>
    <s v="CA-A-D7"/>
    <s v="PALF"/>
    <x v="5"/>
    <s v="Congo"/>
    <m/>
    <m/>
    <m/>
  </r>
  <r>
    <x v="85"/>
    <s v="Bonus du mois de Mars 2025/Roderlin"/>
    <s v="Personnel"/>
    <s v="Legal"/>
    <n v="30000"/>
    <n v="51.466009274174873"/>
    <n v="582.90899999999999"/>
    <s v="Parfaite"/>
    <s v="CA-A-D8"/>
    <s v="PALF"/>
    <x v="5"/>
    <s v="Congo"/>
    <m/>
    <m/>
    <m/>
  </r>
  <r>
    <x v="85"/>
    <s v="Bonus du mois de Mars 2025/Evariste"/>
    <s v="Personnel"/>
    <s v="Media"/>
    <n v="30000"/>
    <n v="51.466009274174873"/>
    <n v="582.90899999999999"/>
    <s v="Parfaite"/>
    <s v="CA-A-D9"/>
    <s v="PALF"/>
    <x v="5"/>
    <s v="Congo"/>
    <m/>
    <m/>
    <m/>
  </r>
  <r>
    <x v="85"/>
    <s v="Bonus opération du 22/03/2025 à Dolisie/Donald-Roméo"/>
    <s v="Bonus"/>
    <s v="Operations"/>
    <n v="30000"/>
    <n v="51.466009274174873"/>
    <n v="582.90899999999999"/>
    <s v="Parfaite"/>
    <s v="CA-A-D10"/>
    <s v="PALF"/>
    <x v="5"/>
    <s v="Congo"/>
    <m/>
    <m/>
    <m/>
  </r>
  <r>
    <x v="85"/>
    <s v="Bonus opération du 22/03/2025 à Dolisie/Romain"/>
    <s v="Bonus"/>
    <s v="Operations"/>
    <n v="25000"/>
    <n v="42.88834106181239"/>
    <n v="582.90899999999999"/>
    <s v="Parfaite"/>
    <s v="CA-A-D11"/>
    <s v="PALF"/>
    <x v="5"/>
    <s v="Congo"/>
    <m/>
    <m/>
    <m/>
  </r>
  <r>
    <x v="85"/>
    <s v="Bonus opération du 22/03/2025 à Dolisie/Abraham"/>
    <s v="Bonus"/>
    <s v="Operations"/>
    <n v="25000"/>
    <n v="42.88834106181239"/>
    <n v="582.90899999999999"/>
    <s v="Parfaite"/>
    <s v="CA-A-D12"/>
    <s v="PALF"/>
    <x v="5"/>
    <s v="Congo"/>
    <m/>
    <m/>
    <m/>
  </r>
  <r>
    <x v="85"/>
    <s v="Bonus opération du 22/03/2025 à Dolisie/Evariste"/>
    <s v="Bonus"/>
    <s v="Operations"/>
    <n v="25000"/>
    <n v="42.88834106181239"/>
    <n v="582.90899999999999"/>
    <s v="Parfaite"/>
    <s v="CA-A-D13"/>
    <s v="PALF"/>
    <x v="5"/>
    <s v="Congo"/>
    <m/>
    <m/>
    <m/>
  </r>
  <r>
    <x v="85"/>
    <s v="Achat billet  Brazzaville - Ewo/T73"/>
    <s v="Transport"/>
    <s v="Investigations"/>
    <n v="9000"/>
    <n v="15.439802782252462"/>
    <n v="582.90899999999999"/>
    <s v="T73"/>
    <s v="T73-A-R2"/>
    <s v="PALF"/>
    <x v="5"/>
    <s v="Congo"/>
    <m/>
    <m/>
    <m/>
  </r>
  <r>
    <x v="85"/>
    <s v="T73-CONGO Ration du 08 au 15/04/2025 à Ewo, Boundji et Oyo (07nuitées)"/>
    <s v="Travel Subsistence"/>
    <s v="Investigations"/>
    <n v="70000"/>
    <n v="120.0873549730747"/>
    <n v="582.90899999999999"/>
    <s v="T73"/>
    <s v="T73-A-D1"/>
    <s v="PALF"/>
    <x v="5"/>
    <s v="Congo"/>
    <m/>
    <m/>
    <m/>
  </r>
  <r>
    <x v="85"/>
    <s v="Achat billet Brazzaville - Pointe Noire/G12"/>
    <s v="Transport"/>
    <s v="Investigations"/>
    <n v="10000"/>
    <n v="17.155336424724958"/>
    <n v="582.90899999999999"/>
    <s v="G12"/>
    <s v="G12-A-R2"/>
    <s v="PALF"/>
    <x v="5"/>
    <s v="Congo"/>
    <m/>
    <m/>
    <m/>
  </r>
  <r>
    <x v="85"/>
    <s v="G12-CONGO Ration du 08 au 15/04/2025 à Pointe-Noire, Madingo kayes et Nzassi"/>
    <s v="Travel Subsistence"/>
    <s v="Investigations"/>
    <n v="70000"/>
    <n v="120.0873549730747"/>
    <n v="582.90899999999999"/>
    <s v="G12"/>
    <s v="G12-A-D1"/>
    <s v="PALF"/>
    <x v="5"/>
    <s v="Congo"/>
    <m/>
    <m/>
    <m/>
  </r>
  <r>
    <x v="85"/>
    <s v="Achat billet Brazzaville-Pointe Noire/Romain"/>
    <s v="Transport"/>
    <s v="Legal"/>
    <n v="12000"/>
    <n v="20.586403709669948"/>
    <n v="582.90899999999999"/>
    <s v="Romain"/>
    <s v="RM-A-R1"/>
    <s v="PALF"/>
    <x v="5"/>
    <s v="Congo"/>
    <m/>
    <m/>
    <m/>
  </r>
  <r>
    <x v="85"/>
    <s v="Frais de transfert Bonus à un informateur en RDC"/>
    <s v="Transfer Fees"/>
    <s v="Office"/>
    <n v="4363"/>
    <n v="7.4848732821074986"/>
    <n v="582.90899999999999"/>
    <s v="Roderlin"/>
    <s v="CA-A-R11"/>
    <s v="PALF"/>
    <x v="5"/>
    <s v="Congo"/>
    <m/>
    <m/>
    <m/>
  </r>
  <r>
    <x v="85"/>
    <s v="Frais de transfert d'argent à P29 et IT87"/>
    <s v="Transfer Fees"/>
    <s v="Office"/>
    <n v="12600"/>
    <n v="21.615723895153447"/>
    <n v="582.90899999999999"/>
    <s v="Roderlin"/>
    <s v="CA-A-R12"/>
    <s v="PALF"/>
    <x v="5"/>
    <s v="Congo"/>
    <m/>
    <m/>
    <m/>
  </r>
  <r>
    <x v="85"/>
    <s v="Achat billet Brazzaville- Pointe Noire/ Donald-Roméo"/>
    <s v="Transport "/>
    <s v="Legal"/>
    <n v="12000"/>
    <n v="20.586403709669948"/>
    <n v="582.90899999999999"/>
    <s v="Donald-Romeo"/>
    <s v="DR-A-R3"/>
    <s v="PALF"/>
    <x v="5"/>
    <s v="Congo"/>
    <m/>
    <m/>
    <m/>
  </r>
  <r>
    <x v="85"/>
    <s v="Paiement Honoraire Me LOCKO/Mois de Mars 2025/3654840"/>
    <s v="Lawyer Fees"/>
    <s v="Legal"/>
    <n v="150000"/>
    <n v="257.33004637087436"/>
    <n v="579.64599999999996"/>
    <s v="BCI"/>
    <s v="BQ-A-R1"/>
    <s v="PALF"/>
    <x v="1"/>
    <s v="Congo"/>
    <m/>
    <m/>
    <m/>
  </r>
  <r>
    <x v="85"/>
    <s v="Acompte honoraire contrat n°83 Dolisie cas NDOHO et NGOMA/ Maître BANZOUZI Alain/3654850"/>
    <s v="Lawyer Fees"/>
    <s v="Legal"/>
    <n v="200000"/>
    <n v="343.10672849449912"/>
    <n v="579.64599999999996"/>
    <s v="BCI"/>
    <s v="BQ-A-R2"/>
    <s v="PALF"/>
    <x v="1"/>
    <s v="Congo"/>
    <m/>
    <m/>
    <m/>
  </r>
  <r>
    <x v="86"/>
    <s v="Bonus du mois de Mars 2025/Merveille"/>
    <s v="Personnel"/>
    <s v="Office"/>
    <n v="31500"/>
    <n v="54.039309737883613"/>
    <n v="582.90899999999999"/>
    <s v="Parfaite"/>
    <s v="CA-A-D14"/>
    <s v="PALF"/>
    <x v="5"/>
    <s v="Congo"/>
    <m/>
    <m/>
    <m/>
  </r>
  <r>
    <x v="86"/>
    <s v="Romain- CONGO  Ration du 09 au 18/04/2025 à Pointe Noire,  Madingou"/>
    <s v="Travel Subsistence"/>
    <s v="Legal"/>
    <n v="90000"/>
    <n v="154.39802782252463"/>
    <n v="582.90899999999999"/>
    <s v="Romain"/>
    <s v="RM-A-D1"/>
    <s v="PALF"/>
    <x v="5"/>
    <s v="Congo"/>
    <m/>
    <m/>
    <m/>
  </r>
  <r>
    <x v="86"/>
    <s v="Achat eau mineral 16 LITRES/Bureau"/>
    <s v="Office Materials"/>
    <s v="Office"/>
    <n v="25000"/>
    <n v="42.88834106181239"/>
    <n v="582.90899999999999"/>
    <s v="Abraham"/>
    <s v="CA-A-R13"/>
    <s v="PALF"/>
    <x v="5"/>
    <s v="Congo"/>
    <m/>
    <m/>
    <m/>
  </r>
  <r>
    <x v="86"/>
    <s v="Frais de transport mission Maitre Alain à Sibiti du 10 au 12/04/2025"/>
    <s v="Transport"/>
    <s v="Legal"/>
    <n v="36000"/>
    <n v="61.759211129009849"/>
    <n v="582.90899999999999"/>
    <s v="Abraham"/>
    <s v="CA-A-R14"/>
    <s v="PALF"/>
    <x v="5"/>
    <s v="Congo"/>
    <m/>
    <m/>
    <m/>
  </r>
  <r>
    <x v="86"/>
    <s v="Ration et frais d'hôtel mission maitre Alain à Sibiti du 10 au 12/04/2025"/>
    <s v="Travel Subsistence"/>
    <s v="Legal"/>
    <n v="50000"/>
    <n v="85.776682123624781"/>
    <n v="582.90899999999999"/>
    <s v="Abraham"/>
    <s v="CA-A-R15"/>
    <s v="PALF"/>
    <x v="5"/>
    <s v="Congo"/>
    <m/>
    <m/>
    <m/>
  </r>
  <r>
    <x v="86"/>
    <s v="Achat billet Brazzaville-Loudima / Roderlin"/>
    <s v="Transport"/>
    <s v="Legal"/>
    <n v="8000"/>
    <n v="13.724269139779965"/>
    <n v="582.90899999999999"/>
    <s v="Roderlin"/>
    <s v="RO-A-R4"/>
    <s v="PALF"/>
    <x v="5"/>
    <s v="Congo"/>
    <m/>
    <m/>
    <m/>
  </r>
  <r>
    <x v="86"/>
    <s v="DONALD ROMEO-CONGO Ration  du  09 au 18/04/2025 à Pointe-Noire et Madingou"/>
    <s v="Travel Subsistence"/>
    <s v="Legal"/>
    <n v="90000"/>
    <n v="154.39802782252463"/>
    <n v="582.90899999999999"/>
    <s v="Donald-Romeo"/>
    <s v="DR-A-D1"/>
    <s v="PALF"/>
    <x v="5"/>
    <s v="Congo"/>
    <m/>
    <m/>
    <m/>
  </r>
  <r>
    <x v="87"/>
    <s v="Achat billet Brazzaville-Madingou/Crépin"/>
    <s v="Transport"/>
    <s v="Legal"/>
    <n v="7000"/>
    <n v="12.00873549730747"/>
    <n v="582.90899999999999"/>
    <s v="Crépin"/>
    <s v="CR-A-R3"/>
    <s v="PALF"/>
    <x v="5"/>
    <s v="Congo"/>
    <m/>
    <m/>
    <m/>
  </r>
  <r>
    <x v="87"/>
    <s v="Cumul frais de jail visit du mois d'Avril 2025/Romain"/>
    <s v="Jail visit"/>
    <s v="Legal"/>
    <n v="2000"/>
    <n v="3.4310672849449912"/>
    <n v="582.90899999999999"/>
    <s v="Romain"/>
    <s v="RM-A-D2"/>
    <s v="PALF"/>
    <x v="5"/>
    <s v="Congo"/>
    <m/>
    <m/>
    <m/>
  </r>
  <r>
    <x v="87"/>
    <s v="Achat  billet Pointe Noire-Madingou/Romain"/>
    <s v="Transport"/>
    <s v="Legal"/>
    <n v="7000"/>
    <n v="12.00873549730747"/>
    <n v="582.90899999999999"/>
    <s v="Romain"/>
    <s v="RM-A-R2"/>
    <s v="PALF"/>
    <x v="5"/>
    <s v="Congo"/>
    <m/>
    <m/>
    <m/>
  </r>
  <r>
    <x v="87"/>
    <s v="Achat billet Loudima-Sibiti/ Roderlin"/>
    <s v="Transport"/>
    <s v="Legal"/>
    <n v="4000"/>
    <n v="6.8621345698899825"/>
    <n v="582.90899999999999"/>
    <s v="Roderlin"/>
    <s v="RO-A-R5"/>
    <s v="PALF"/>
    <x v="5"/>
    <s v="Congo"/>
    <m/>
    <m/>
    <m/>
  </r>
  <r>
    <x v="87"/>
    <s v="Roderlin-CONGO Ration du 10 au 18/04/2025 à Sibiti et Madingou "/>
    <s v="Travel Subsistence"/>
    <s v="Legal"/>
    <n v="80000"/>
    <n v="137.24269139779966"/>
    <n v="582.90899999999999"/>
    <s v="Roderlin"/>
    <s v="RO-A-D2"/>
    <s v="PALF"/>
    <x v="5"/>
    <s v="Congo"/>
    <m/>
    <m/>
    <m/>
  </r>
  <r>
    <x v="87"/>
    <s v="Achat billet Pointe Noire- Madingou/ Donald-Roméo"/>
    <s v="Transport "/>
    <s v="Legal"/>
    <n v="7000"/>
    <n v="12.00873549730747"/>
    <n v="582.90899999999999"/>
    <s v="Donald-Romeo"/>
    <s v="DR-A-R4"/>
    <s v="PALF"/>
    <x v="5"/>
    <s v="Congo"/>
    <m/>
    <m/>
    <m/>
  </r>
  <r>
    <x v="87"/>
    <s v="Achat billet Brazzaville-Madingou/Evariste"/>
    <s v="Transport"/>
    <s v="Media"/>
    <n v="7000"/>
    <n v="12.00873549730747"/>
    <n v="582.90899999999999"/>
    <s v="Evariste"/>
    <s v="EV-A-R1"/>
    <s v="PALF"/>
    <x v="5"/>
    <s v="Congo"/>
    <m/>
    <m/>
    <m/>
  </r>
  <r>
    <x v="87"/>
    <s v="Frais de transfert d'argent à P29 et IT87"/>
    <s v="Transfer Fees"/>
    <s v="Office"/>
    <n v="5130"/>
    <n v="8.8006875858839031"/>
    <n v="582.90899999999999"/>
    <s v="Evariste"/>
    <s v="CA-A-R16"/>
    <s v="PALF"/>
    <x v="5"/>
    <s v="Congo"/>
    <m/>
    <m/>
    <m/>
  </r>
  <r>
    <x v="88"/>
    <s v="CREPIN-CONGO Ration du 11 au 18/04/2025 à Madingou"/>
    <s v="Travel Subsistence"/>
    <s v="Legal"/>
    <n v="70000"/>
    <n v="120.0873549730747"/>
    <n v="582.90899999999999"/>
    <s v="Crépin"/>
    <s v="CR-A-D1"/>
    <s v="PALF"/>
    <x v="5"/>
    <s v="Congo"/>
    <m/>
    <m/>
    <m/>
  </r>
  <r>
    <x v="88"/>
    <s v="Achat credit téléphonique pour P29/Appel trust à l'international"/>
    <s v="Telephone"/>
    <s v="Investigations"/>
    <n v="15000"/>
    <n v="25.733004637087436"/>
    <n v="582.90899999999999"/>
    <s v="Parfaite"/>
    <s v="CA-A-R18"/>
    <s v="PALF"/>
    <x v="5"/>
    <s v="Congo"/>
    <m/>
    <m/>
    <m/>
  </r>
  <r>
    <x v="88"/>
    <s v="T73 - CONGO Frais d'hotel du 08 au 11/04/2025 à Ewo (03nuitées) "/>
    <s v="Travel Subsistence"/>
    <s v="Investigations"/>
    <n v="45000"/>
    <n v="77.199013911262313"/>
    <n v="582.90899999999999"/>
    <s v="T73"/>
    <s v="T73-A-R3"/>
    <s v="PALF"/>
    <x v="5"/>
    <s v="Congo"/>
    <m/>
    <m/>
    <m/>
  </r>
  <r>
    <x v="88"/>
    <s v="Achat billet  Ewo - Oyo/T73"/>
    <s v="Transport"/>
    <s v="Investigations"/>
    <n v="8000"/>
    <n v="13.724269139779965"/>
    <n v="582.90899999999999"/>
    <s v="T73"/>
    <s v="T73-A-R4"/>
    <s v="PALF"/>
    <x v="5"/>
    <s v="Congo"/>
    <m/>
    <m/>
    <m/>
  </r>
  <r>
    <x v="88"/>
    <s v="G12-CONGO Frais d'hotel du 08 au 11/04/2025 à Pointe Noire (03 Nuitées)"/>
    <s v="Travel Subsistence"/>
    <s v="Investigations"/>
    <n v="45000"/>
    <n v="77.199013911262313"/>
    <n v="582.90899999999999"/>
    <s v="G12"/>
    <s v="G12-A-R3"/>
    <s v="PALF"/>
    <x v="5"/>
    <s v="Congo"/>
    <m/>
    <m/>
    <m/>
  </r>
  <r>
    <x v="88"/>
    <s v="Achat billet  Pointe Noire - Madingo kayes/G12"/>
    <s v="Transport"/>
    <s v="Investigations"/>
    <n v="5000"/>
    <n v="8.5776682123624788"/>
    <n v="582.90899999999999"/>
    <s v="G12"/>
    <s v="G12-A-R4"/>
    <s v="PALF"/>
    <x v="5"/>
    <s v="Congo"/>
    <m/>
    <m/>
    <m/>
  </r>
  <r>
    <x v="88"/>
    <s v="Romain-CONGO Frais  d'Hôtel du 09 au 11/04/2025 à Pointe-Noire (02 nuitées)"/>
    <s v="Travel Subsistence"/>
    <s v="Legal"/>
    <n v="30000"/>
    <n v="51.466009274174873"/>
    <n v="582.90899999999999"/>
    <s v="Romain"/>
    <s v="RM-A-R3"/>
    <s v="PALF"/>
    <x v="5"/>
    <s v="Congo"/>
    <m/>
    <m/>
    <m/>
  </r>
  <r>
    <x v="88"/>
    <s v="Frais de transfert d'argent à Romain, Donald, Roderlin,  P29 et IT87"/>
    <s v="Transfer Fees"/>
    <s v="Office"/>
    <n v="14710"/>
    <n v="25.235499880770412"/>
    <n v="582.90899999999999"/>
    <s v="Abraham"/>
    <s v="CA-A-R17"/>
    <s v="PALF"/>
    <x v="5"/>
    <s v="Congo"/>
    <m/>
    <m/>
    <m/>
  </r>
  <r>
    <x v="88"/>
    <s v="Cumul frais de jail visit du mois d'Avril 2025/Roderlin"/>
    <s v="Jail visit"/>
    <s v="Legal"/>
    <n v="6000"/>
    <n v="10.293201854834974"/>
    <n v="582.90899999999999"/>
    <s v="Roderlin"/>
    <s v="RO-A-D3"/>
    <s v="PALF"/>
    <x v="5"/>
    <s v="Congo"/>
    <m/>
    <m/>
    <m/>
  </r>
  <r>
    <x v="88"/>
    <s v="DONALD ROMEO-CONGO Frais d'hôtel du 09 au 11/04/2025 à Pointe-Noire (02 Nuitées)"/>
    <s v="Travel Subsistence"/>
    <s v="Legal"/>
    <n v="30000"/>
    <n v="51.466009274174873"/>
    <n v="582.90899999999999"/>
    <s v="Donald-Romeo"/>
    <s v="DR-A-R5"/>
    <s v="PALF"/>
    <x v="5"/>
    <s v="Congo"/>
    <m/>
    <m/>
    <m/>
  </r>
  <r>
    <x v="88"/>
    <s v="Evariste-CONGO Ration du 11 au 18 Avril 2025 à Madingou"/>
    <s v="Travel Subsistence"/>
    <s v="Media"/>
    <n v="70000"/>
    <n v="120.0873549730747"/>
    <n v="582.90899999999999"/>
    <s v="Evariste"/>
    <s v="EV-A-D1"/>
    <s v="PALF"/>
    <x v="5"/>
    <s v="Congo"/>
    <m/>
    <m/>
    <m/>
  </r>
  <r>
    <x v="89"/>
    <s v="Roderlin-CONGO frais d'hôtel du 10 au 12/04/2025 à Sibiti (02 nuitées)"/>
    <s v="Travel Subsistence"/>
    <s v="Legal"/>
    <n v="30000"/>
    <n v="51.466009274174873"/>
    <n v="582.90899999999999"/>
    <s v="Roderlin"/>
    <s v="RO-A-R6"/>
    <s v="PALF"/>
    <x v="5"/>
    <s v="Congo"/>
    <m/>
    <m/>
    <m/>
  </r>
  <r>
    <x v="89"/>
    <s v="Achat billet Sibiti-Nkayi/ Roderlin"/>
    <s v="Transport"/>
    <s v="Legal"/>
    <n v="5000"/>
    <n v="8.5776682123624788"/>
    <n v="582.90899999999999"/>
    <s v="Roderlin"/>
    <s v="RO-A-R7"/>
    <s v="PALF"/>
    <x v="5"/>
    <s v="Congo"/>
    <m/>
    <m/>
    <m/>
  </r>
  <r>
    <x v="89"/>
    <s v="Achat billet Nkayi-Madingou/Roderlin"/>
    <s v="Transport"/>
    <s v="Legal"/>
    <n v="2000"/>
    <n v="3.4310672849449912"/>
    <n v="582.90899999999999"/>
    <s v="Roderlin"/>
    <s v="RO-A-R8"/>
    <s v="PALF"/>
    <x v="5"/>
    <s v="Congo"/>
    <m/>
    <m/>
    <m/>
  </r>
  <r>
    <x v="90"/>
    <s v="CREPIN-CONGO Frais l'hôtel  du 11 au 13/04/2025 à Madingou(02 Nuitées)"/>
    <s v="Travel Subsistence"/>
    <s v="Legal"/>
    <n v="30000"/>
    <n v="51.466009274174873"/>
    <n v="582.90899999999999"/>
    <s v="Crépin"/>
    <s v="CR-A-R4"/>
    <s v="PALF"/>
    <x v="5"/>
    <s v="Congo"/>
    <m/>
    <m/>
    <m/>
  </r>
  <r>
    <x v="90"/>
    <s v="P29 -CONGO Frais d'hotel du 04 au 13/04/2025 à Madingou (09 Nuitées)"/>
    <s v="Travel Subsistence"/>
    <s v="Investigations"/>
    <n v="135000"/>
    <n v="231.59704173378694"/>
    <n v="582.90899999999999"/>
    <s v="P29"/>
    <s v="P29-A-R2"/>
    <s v="PALF"/>
    <x v="5"/>
    <s v="Congo"/>
    <m/>
    <m/>
    <m/>
  </r>
  <r>
    <x v="90"/>
    <s v="T73 - CONGO Frais d'hotel du 11 au 13/04/20225 à Oyo (02 nuitées) "/>
    <s v="Travel Subsistence"/>
    <s v="Investigations"/>
    <n v="30000"/>
    <n v="51.466009274174873"/>
    <n v="582.90899999999999"/>
    <s v="T73"/>
    <s v="T73-A-R5"/>
    <s v="PALF"/>
    <x v="5"/>
    <s v="Congo"/>
    <m/>
    <m/>
    <m/>
  </r>
  <r>
    <x v="90"/>
    <s v="Achat billet  Oyo - Boundji /T73"/>
    <s v="Transport"/>
    <s v="Investigations"/>
    <n v="5000"/>
    <n v="8.5776682123624788"/>
    <n v="582.90899999999999"/>
    <s v="T73"/>
    <s v="T73-A-R6"/>
    <s v="PALF"/>
    <x v="5"/>
    <s v="Congo"/>
    <m/>
    <m/>
    <m/>
  </r>
  <r>
    <x v="90"/>
    <s v="G12-CONGO frais d'hotel du 11 au 13 /04/2025 à Madingo kayes (02 Nuitées) "/>
    <s v="Travel Subsistence"/>
    <s v="Investigations"/>
    <n v="30000"/>
    <n v="51.466009274174873"/>
    <n v="582.90899999999999"/>
    <s v="G12"/>
    <s v="G12-A-R5"/>
    <s v="PALF"/>
    <x v="5"/>
    <s v="Congo"/>
    <m/>
    <m/>
    <m/>
  </r>
  <r>
    <x v="90"/>
    <s v="Achat billet  Madingo kayes - Nzassi/G12"/>
    <s v="Transport"/>
    <s v="Investigations"/>
    <n v="8000"/>
    <n v="13.724269139779965"/>
    <n v="582.90899999999999"/>
    <s v="G12"/>
    <s v="G12-A-R6"/>
    <s v="PALF"/>
    <x v="5"/>
    <s v="Congo"/>
    <m/>
    <m/>
    <m/>
  </r>
  <r>
    <x v="91"/>
    <s v="G12-CONGO Frais d'hotel du 13 au 14 /04 /2025  à nzassi (01 Nuitée) "/>
    <s v="Travel Subsistence"/>
    <s v="Investigations"/>
    <n v="15000"/>
    <n v="25.733004637087436"/>
    <n v="582.90899999999999"/>
    <s v="G12"/>
    <s v="G12-A-R7"/>
    <s v="PALF"/>
    <x v="5"/>
    <s v="Congo"/>
    <m/>
    <m/>
    <m/>
  </r>
  <r>
    <x v="91"/>
    <s v="Achat billet  Nzassi - Pointe Noire/G12"/>
    <s v="Transport"/>
    <s v="Investigations"/>
    <n v="3000"/>
    <n v="5.1466009274174871"/>
    <n v="582.90899999999999"/>
    <s v="G12"/>
    <s v="G12-A-R8"/>
    <s v="PALF"/>
    <x v="5"/>
    <s v="Congo"/>
    <m/>
    <m/>
    <m/>
  </r>
  <r>
    <x v="91"/>
    <s v="Achat billet Pointe Noire - Brazzaville "/>
    <s v="Transport"/>
    <s v="Investigations"/>
    <n v="10000"/>
    <n v="17.155336424724958"/>
    <n v="582.90899999999999"/>
    <s v="G12"/>
    <s v="G12-A-R9"/>
    <s v="PALF"/>
    <x v="5"/>
    <s v="Congo"/>
    <m/>
    <m/>
    <m/>
  </r>
  <r>
    <x v="91"/>
    <s v="Achat billet Brazzaville-Owando/Abraham"/>
    <s v="Transport"/>
    <s v="Legal"/>
    <n v="7000"/>
    <n v="12.00873549730747"/>
    <n v="582.90899999999999"/>
    <s v="Abraham"/>
    <s v="AB-A-R1"/>
    <s v="PALF"/>
    <x v="5"/>
    <s v="Congo"/>
    <m/>
    <m/>
    <m/>
  </r>
  <r>
    <x v="91"/>
    <s v="Frais de transfert d'argent à Crépin, Evarste,  P29 et IT87"/>
    <s v="Transfer Fees"/>
    <s v="Office"/>
    <n v="14390"/>
    <n v="24.686529115179212"/>
    <n v="582.90899999999999"/>
    <s v="Abraham"/>
    <s v="CA-A-R19"/>
    <s v="PALF"/>
    <x v="5"/>
    <s v="Congo"/>
    <m/>
    <m/>
    <m/>
  </r>
  <r>
    <x v="91"/>
    <s v="Frais de transport mission Maitre Alain à Owando du 16 au 18/04/2025"/>
    <s v="Transport"/>
    <s v="Legal"/>
    <n v="20000"/>
    <n v="34.310672849449915"/>
    <n v="582.90899999999999"/>
    <s v="Abraham"/>
    <s v="CA-A-R20"/>
    <s v="PALF"/>
    <x v="5"/>
    <s v="Congo"/>
    <m/>
    <m/>
    <m/>
  </r>
  <r>
    <x v="91"/>
    <s v="Ration et frais d'hotel mission maitre Alain à Owando du 16 au 18/04/2025"/>
    <s v="Travel Subsistence"/>
    <s v="Legal"/>
    <n v="50000"/>
    <n v="85.776682123624781"/>
    <n v="582.90899999999999"/>
    <s v="Abraham"/>
    <s v="CA-A-R21"/>
    <s v="PALF"/>
    <x v="5"/>
    <s v="Congo"/>
    <m/>
    <m/>
    <m/>
  </r>
  <r>
    <x v="91"/>
    <s v="Frais de transport mission Maitre Hélene à Owando du 16 au 18/04/2025"/>
    <s v="Transport"/>
    <s v="Legal"/>
    <n v="20000"/>
    <n v="34.310672849449915"/>
    <n v="582.90899999999999"/>
    <s v="Abraham"/>
    <s v="CA-A-R22"/>
    <s v="PALF"/>
    <x v="5"/>
    <s v="Congo"/>
    <m/>
    <m/>
    <m/>
  </r>
  <r>
    <x v="91"/>
    <s v="Ration et frais d'hotel mission maitre Hélene à Owando du 16 au 18/04/2025"/>
    <s v="Travel Subsistence"/>
    <s v="Legal"/>
    <n v="50000"/>
    <n v="85.776682123624781"/>
    <n v="582.90899999999999"/>
    <s v="Abraham"/>
    <s v="CA-A-R23"/>
    <s v="PALF"/>
    <x v="5"/>
    <s v="Congo"/>
    <m/>
    <m/>
    <m/>
  </r>
  <r>
    <x v="91"/>
    <s v="Paiement CNSS premier trimestre/Janvier,Février et Mars 2025/Crepin /3654848"/>
    <s v="Personnel"/>
    <s v="Legal"/>
    <n v="368700"/>
    <n v="632.51725397960922"/>
    <n v="582.90899999999999"/>
    <s v="BCI"/>
    <s v="BQ-A-R3"/>
    <s v="PALF"/>
    <x v="5"/>
    <s v="Congo"/>
    <m/>
    <m/>
    <m/>
  </r>
  <r>
    <x v="91"/>
    <s v="Paiement CNSS premier trimestre/Janvier,Février et Mars 2025/Donald-Roméo/3654848"/>
    <s v="Personnel"/>
    <s v="Legal"/>
    <n v="107230"/>
    <n v="183.95667248232573"/>
    <n v="582.90899999999999"/>
    <s v="BCI"/>
    <s v="BQ-A-R4"/>
    <s v="PALF"/>
    <x v="5"/>
    <s v="Congo"/>
    <m/>
    <m/>
    <m/>
  </r>
  <r>
    <x v="91"/>
    <s v="Paiement CNSS premier trimestre/Janvier,Février et Mars 2025/Romain/3654848"/>
    <s v="Personnel"/>
    <s v="Legal"/>
    <n v="103494"/>
    <n v="177.54743879404847"/>
    <n v="582.90899999999999"/>
    <s v="BCI"/>
    <s v="BQ-A-R5"/>
    <s v="PALF"/>
    <x v="5"/>
    <s v="Congo"/>
    <m/>
    <m/>
    <m/>
  </r>
  <r>
    <x v="91"/>
    <s v="Paiement CNSS premier trimestre/Janvier,Février et Mars 2025/Roderlin/3654848"/>
    <s v="Personnel"/>
    <s v="Legal"/>
    <n v="103494"/>
    <n v="177.54743879404847"/>
    <n v="582.90899999999999"/>
    <s v="BCI"/>
    <s v="BQ-A-R6"/>
    <s v="PALF"/>
    <x v="5"/>
    <s v="Congo"/>
    <m/>
    <m/>
    <m/>
  </r>
  <r>
    <x v="91"/>
    <s v="Paiement CNSS premier trimestre/Janvier,Février et Mars 2025/Abraham/3654848"/>
    <s v="Personnel"/>
    <s v="Legal"/>
    <n v="103494"/>
    <n v="177.54743879404847"/>
    <n v="582.90899999999999"/>
    <s v="BCI"/>
    <s v="BQ-A-R7"/>
    <s v="PALF"/>
    <x v="5"/>
    <s v="Congo"/>
    <m/>
    <m/>
    <m/>
  </r>
  <r>
    <x v="91"/>
    <s v="Paiement CNSS premier trimestre/Janvier,Février et Mars 2025/Parfaite/3654848"/>
    <s v="Personnel"/>
    <s v="Office"/>
    <n v="65179"/>
    <n v="111.81676728271479"/>
    <n v="582.90899999999999"/>
    <s v="BCI"/>
    <s v="BQ-A-R8"/>
    <s v="PALF"/>
    <x v="5"/>
    <s v="Congo"/>
    <m/>
    <m/>
    <m/>
  </r>
  <r>
    <x v="91"/>
    <s v="Paiement CNSS premier trimestre/Janvier,Février et Mars 2025/Merveille/3654848"/>
    <s v="Personnel"/>
    <s v="Office"/>
    <n v="256525"/>
    <n v="440.07726763525699"/>
    <n v="582.90899999999999"/>
    <s v="BCI"/>
    <s v="BQ-A-R9"/>
    <s v="PALF"/>
    <x v="5"/>
    <s v="Congo"/>
    <m/>
    <m/>
    <m/>
  </r>
  <r>
    <x v="91"/>
    <s v="Paiement CNSS premier trimestre/Janvier,Février et Mars 2025/Evariste/3654848"/>
    <s v="Personnel"/>
    <s v="Media"/>
    <n v="127560"/>
    <n v="218.83347143379154"/>
    <n v="582.90899999999999"/>
    <s v="BCI"/>
    <s v="BQ-A-R10"/>
    <s v="PALF"/>
    <x v="5"/>
    <s v="Congo"/>
    <m/>
    <m/>
    <m/>
  </r>
  <r>
    <x v="92"/>
    <s v="Frais de nettoyage caniveau bureau PALF"/>
    <s v="Services"/>
    <s v="Office"/>
    <n v="11000"/>
    <n v="18.870870067197455"/>
    <n v="582.90899999999999"/>
    <s v="DOVI"/>
    <s v="CA-A-D15"/>
    <s v="PALF"/>
    <x v="5"/>
    <s v="Congo"/>
    <m/>
    <m/>
    <m/>
  </r>
  <r>
    <x v="92"/>
    <s v="Règlement facture d'eau du mois de Janv, Fév, Mars, Avril  2025 bureau PALF"/>
    <s v="Rent &amp; Utilities"/>
    <s v="Office"/>
    <n v="25500"/>
    <n v="43.746107883048644"/>
    <n v="582.90899999999999"/>
    <s v="Parfaite"/>
    <s v="CA-A-R24"/>
    <s v="PALF"/>
    <x v="5"/>
    <s v="Congo"/>
    <m/>
    <m/>
    <m/>
  </r>
  <r>
    <x v="92"/>
    <s v="Frais de transfert d'argent à P29 et IT87"/>
    <s v="Transfer Fees"/>
    <s v="Office"/>
    <n v="5950"/>
    <n v="10.20742517271135"/>
    <n v="582.90899999999999"/>
    <s v="Parfaite"/>
    <s v="CA-A-R25"/>
    <s v="PALF"/>
    <x v="5"/>
    <s v="Congo"/>
    <m/>
    <m/>
    <m/>
  </r>
  <r>
    <x v="92"/>
    <s v="Achat credit  teléphonique MTN/PALF/Deuxième partie du mois d'Avril2025/Management"/>
    <s v="Telephone"/>
    <s v="Management"/>
    <n v="20000"/>
    <n v="34.310672849449915"/>
    <n v="582.90899999999999"/>
    <s v="Parfaite"/>
    <s v="CA-A-R26"/>
    <s v="PALF"/>
    <x v="5"/>
    <s v="Congo"/>
    <m/>
    <m/>
    <m/>
  </r>
  <r>
    <x v="92"/>
    <s v="Achat credit  teléphonique MTN/PALF/Deuxième partie du mois d'Avril 2025/Legal"/>
    <s v="Telephone"/>
    <s v="Legal"/>
    <n v="40000"/>
    <n v="68.62134569889983"/>
    <n v="582.90899999999999"/>
    <s v="Parfaite"/>
    <s v="CA-A-R27"/>
    <s v="PALF"/>
    <x v="5"/>
    <s v="Congo"/>
    <m/>
    <m/>
    <m/>
  </r>
  <r>
    <x v="92"/>
    <s v="Achat credit  teléphonique MTN/PALF/Deuxième partie du mois d'Avril 2025/Investigation"/>
    <s v="Telephone"/>
    <s v="Investigations"/>
    <n v="55000"/>
    <n v="94.354350335987263"/>
    <n v="582.90899999999999"/>
    <s v="Parfaite"/>
    <s v="CA-A-R28"/>
    <s v="PALF"/>
    <x v="5"/>
    <s v="Congo"/>
    <m/>
    <m/>
    <m/>
  </r>
  <r>
    <x v="92"/>
    <s v="Achat credit  teléphonique MTN/PALF/deuxième partie du mois d'Avril 2025/Media"/>
    <s v="Telephone"/>
    <s v="Media"/>
    <n v="10000"/>
    <n v="17.155336424724958"/>
    <n v="582.90899999999999"/>
    <s v="Parfaite"/>
    <s v="CA-A-R29"/>
    <s v="PALF"/>
    <x v="5"/>
    <s v="Congo"/>
    <m/>
    <m/>
    <m/>
  </r>
  <r>
    <x v="92"/>
    <s v="Achat credit  teléphonique Airtel/PALF/Deuxième partie du mois d'Avril 2025/Legal"/>
    <s v="Telephone"/>
    <s v="Legal"/>
    <n v="10000"/>
    <n v="17.155336424724958"/>
    <n v="582.90899999999999"/>
    <s v="Parfaite"/>
    <s v="CA-A-R30"/>
    <s v="PALF"/>
    <x v="5"/>
    <s v="Congo"/>
    <m/>
    <m/>
    <m/>
  </r>
  <r>
    <x v="92"/>
    <s v="Achat credit  teléphonique Airtel/PALF/Deuxième partie du mois d'Avril 2025/Investigation"/>
    <s v="Telephone"/>
    <s v="Investigations"/>
    <n v="5000"/>
    <n v="8.5776682123624788"/>
    <n v="582.90899999999999"/>
    <s v="Parfaite"/>
    <s v="CA-A-R31"/>
    <s v="PALF"/>
    <x v="5"/>
    <s v="Congo"/>
    <m/>
    <m/>
    <m/>
  </r>
  <r>
    <x v="92"/>
    <s v="T73 - CONGO Frais d'hotel du 13 au 15/04/20225 à Boundji (02 nuitées) "/>
    <s v="Travel Subsistence"/>
    <s v="Investigations"/>
    <n v="30000"/>
    <n v="51.466009274174873"/>
    <n v="582.90899999999999"/>
    <s v="T73"/>
    <s v="T73-A-R7"/>
    <s v="PALF"/>
    <x v="5"/>
    <s v="Congo"/>
    <m/>
    <m/>
    <m/>
  </r>
  <r>
    <x v="92"/>
    <s v="Achat billet  Boundji - Brazzaville/T73"/>
    <s v="Transport"/>
    <s v="Investigations"/>
    <n v="12000"/>
    <n v="20.586403709669948"/>
    <n v="582.90899999999999"/>
    <s v="T73"/>
    <s v="T73-A-R8"/>
    <s v="PALF"/>
    <x v="5"/>
    <s v="Congo"/>
    <m/>
    <m/>
    <m/>
  </r>
  <r>
    <x v="92"/>
    <s v="G12-CONGO Frais d'hotel du 14 au 15/04/2025 à Pointe Noire (01 Nuitée)"/>
    <s v="Travel Subsistence"/>
    <s v="Investigations"/>
    <n v="15000"/>
    <n v="25.733004637087436"/>
    <n v="582.90899999999999"/>
    <s v="G12"/>
    <s v="G12-A-R10"/>
    <s v="PALF"/>
    <x v="5"/>
    <s v="Congo"/>
    <m/>
    <m/>
    <m/>
  </r>
  <r>
    <x v="93"/>
    <s v="ABRAHAM - CONGO Ration du 16 au 18/04/2025 à Owando (02 Nuitées) "/>
    <s v="Travel Subsistence"/>
    <s v="Legal"/>
    <n v="20000"/>
    <n v="34.310672849449915"/>
    <n v="582.90899999999999"/>
    <s v="Abraham"/>
    <s v="AB-A-D1"/>
    <s v="PALF"/>
    <x v="5"/>
    <s v="Congo"/>
    <m/>
    <m/>
    <m/>
  </r>
  <r>
    <x v="94"/>
    <s v="Frais de transfert d'argent à crépin, Evarste,  romain, roderlin et donald-roméo"/>
    <s v="Transfer Fees"/>
    <s v="Office"/>
    <n v="7500"/>
    <n v="12.866502318543718"/>
    <n v="582.90899999999999"/>
    <s v="G12"/>
    <s v="CA-A-R32"/>
    <s v="PALF"/>
    <x v="5"/>
    <s v="Congo"/>
    <m/>
    <m/>
    <m/>
  </r>
  <r>
    <x v="95"/>
    <s v="Achat billet Madingou-Brazzaville/P29"/>
    <s v="Transport"/>
    <s v="Investigations"/>
    <n v="7000"/>
    <n v="12.00873549730747"/>
    <n v="582.90899999999999"/>
    <s v="P29"/>
    <s v="P29-A-R3"/>
    <s v="PALF"/>
    <x v="5"/>
    <s v="Congo"/>
    <m/>
    <m/>
    <m/>
  </r>
  <r>
    <x v="95"/>
    <s v="Achat billet Madingou - Brazzaville/ IT87"/>
    <s v="Transport"/>
    <s v="Investigations"/>
    <n v="7000"/>
    <n v="12.00873549730747"/>
    <n v="582.90899999999999"/>
    <s v="IT87"/>
    <s v="IT87-A-R2"/>
    <s v="PALF"/>
    <x v="5"/>
    <s v="Congo"/>
    <m/>
    <m/>
    <m/>
  </r>
  <r>
    <x v="95"/>
    <s v="Achat billet Madingou-Brazzaville/Romain"/>
    <s v="Transport"/>
    <s v="Legal"/>
    <n v="7000"/>
    <n v="12.00873549730747"/>
    <n v="582.90899999999999"/>
    <s v="Romain"/>
    <s v="RM-A-R4"/>
    <s v="PALF"/>
    <x v="5"/>
    <s v="Congo"/>
    <m/>
    <m/>
    <m/>
  </r>
  <r>
    <x v="95"/>
    <s v="Achat billet Owando-Brazzaville/Abraham"/>
    <s v="Transport"/>
    <s v="Legal"/>
    <n v="7000"/>
    <n v="12.00873549730747"/>
    <n v="582.90899999999999"/>
    <s v="Abraham"/>
    <s v="AB-A-R2"/>
    <s v="PALF"/>
    <x v="5"/>
    <s v="Congo"/>
    <m/>
    <m/>
    <m/>
  </r>
  <r>
    <x v="95"/>
    <s v="Achat billet Madingou-Brazzaville/ Roderlin"/>
    <s v="Transport"/>
    <s v="Legal"/>
    <n v="7000"/>
    <n v="12.00873549730747"/>
    <n v="582.90899999999999"/>
    <s v="Roderlin"/>
    <s v="RO-A-R9"/>
    <s v="PALF"/>
    <x v="5"/>
    <s v="Congo"/>
    <m/>
    <m/>
    <m/>
  </r>
  <r>
    <x v="95"/>
    <s v="Achat billet Madingou-Brazzaville/ Donald-Roméo"/>
    <s v="Transport "/>
    <s v="Legal"/>
    <n v="7000"/>
    <n v="12.00873549730747"/>
    <n v="582.90899999999999"/>
    <s v="Donald-Romeo"/>
    <s v="DR-A-R6"/>
    <s v="PALF"/>
    <x v="5"/>
    <s v="Congo"/>
    <m/>
    <m/>
    <m/>
  </r>
  <r>
    <x v="95"/>
    <s v="Achat billet Madingou-Brazzaville/Crepin"/>
    <s v="Transport"/>
    <s v="Legal"/>
    <n v="7000"/>
    <n v="12.00873549730747"/>
    <n v="582.90899999999999"/>
    <s v="Crépin"/>
    <s v="CR-A-R5"/>
    <s v="PALF"/>
    <x v="5"/>
    <s v="Congo"/>
    <m/>
    <m/>
    <m/>
  </r>
  <r>
    <x v="95"/>
    <s v="IT87 - CONGO Frais d'hôtel  du 04 au 18/04/2025 à Madingou (14 nuitées)"/>
    <s v="Travel Subsistence"/>
    <s v="Investigations"/>
    <n v="210000"/>
    <n v="360.26206491922409"/>
    <n v="582.90899999999999"/>
    <s v="IT87"/>
    <s v="IT87-A-R3"/>
    <s v="PALF"/>
    <x v="5"/>
    <s v="Congo"/>
    <m/>
    <m/>
    <m/>
  </r>
  <r>
    <x v="95"/>
    <s v="Cumul frais de transport local du mois d'Avril 2025/IT87"/>
    <s v="Transport"/>
    <s v="Investigations"/>
    <n v="34300"/>
    <n v="58.842803936806604"/>
    <n v="582.90899999999999"/>
    <s v="IT87"/>
    <s v="IT87-A-D3"/>
    <s v="PALF"/>
    <x v="5"/>
    <s v="Congo"/>
    <m/>
    <m/>
    <m/>
  </r>
  <r>
    <x v="95"/>
    <s v="Romain- CONGO Frais  d'Hôtel du 11 au 18/04//2025 à Madingou  (07 nuités)"/>
    <s v="Travel Subsistence"/>
    <s v="Legal"/>
    <n v="105000"/>
    <n v="180.13103245961204"/>
    <n v="582.90899999999999"/>
    <s v="Romain"/>
    <s v="RM-A-R5"/>
    <s v="PALF"/>
    <x v="5"/>
    <s v="Congo"/>
    <m/>
    <m/>
    <m/>
  </r>
  <r>
    <x v="95"/>
    <s v="ABRAHAM - CONGO Frais d'Hôtel du 16 au 17/04/2025 à Owando (02 Nuitées)"/>
    <s v="Travel Subsistence"/>
    <s v="Legal"/>
    <n v="30000"/>
    <n v="51.466009274174873"/>
    <n v="582.90899999999999"/>
    <s v="Abraham"/>
    <s v="AB-A-R3"/>
    <s v="PALF"/>
    <x v="5"/>
    <s v="Congo"/>
    <m/>
    <m/>
    <m/>
  </r>
  <r>
    <x v="95"/>
    <s v="Roderlin-CONGO frais d'hôtel du 12 au 18/04/2025 à Madingou (06 nuitées)"/>
    <s v="Travel Subsistence"/>
    <s v="Legal"/>
    <n v="90000"/>
    <n v="154.39802782252463"/>
    <n v="582.90899999999999"/>
    <s v="Roderlin"/>
    <s v="RO-A-R10"/>
    <s v="PALF"/>
    <x v="5"/>
    <s v="Congo"/>
    <m/>
    <m/>
    <m/>
  </r>
  <r>
    <x v="95"/>
    <s v="DONALD ROMEO- CONGO Frais d'hôtel du  11 au 18/04/2025 à Madingou (07 Nuitées)"/>
    <s v="Travel Subsistence"/>
    <s v="Legal"/>
    <n v="105000"/>
    <n v="180.13103245961204"/>
    <n v="582.90899999999999"/>
    <s v="Donald-Romeo"/>
    <s v="DR-A-R7"/>
    <s v="PALF"/>
    <x v="5"/>
    <s v="Congo"/>
    <m/>
    <m/>
    <m/>
  </r>
  <r>
    <x v="95"/>
    <s v="Achat Billet Madingou-Brazzaville/Evariste"/>
    <s v="Transport"/>
    <s v="Media"/>
    <n v="7000"/>
    <n v="12.00873549730747"/>
    <n v="582.90899999999999"/>
    <s v="Evariste"/>
    <s v="EV-A-R2"/>
    <s v="PALF"/>
    <x v="5"/>
    <s v="Congo"/>
    <m/>
    <m/>
    <m/>
  </r>
  <r>
    <x v="95"/>
    <s v="Evariste-CONGO Frais de l'hôtel du 11 au 18 Avril 2025 à Madingou ( 7 nuitées)"/>
    <s v="Travel Subsistence"/>
    <s v="Media"/>
    <n v="105000"/>
    <n v="180.13103245961204"/>
    <n v="582.90899999999999"/>
    <s v="Evariste"/>
    <s v="EV-A-R3"/>
    <s v="PALF"/>
    <x v="5"/>
    <s v="Congo"/>
    <m/>
    <m/>
    <m/>
  </r>
  <r>
    <x v="96"/>
    <s v="P29 -CONGO Frais d'hotel du 13 au 19/04/2025 à Madingou lieu OP1(P29) (06 Nuitées)"/>
    <s v="Travel Subsistence"/>
    <s v="Investigations"/>
    <n v="150000"/>
    <n v="257.33004637087436"/>
    <n v="582.90899999999999"/>
    <s v="P29"/>
    <s v="P29-A-R4"/>
    <s v="PALF"/>
    <x v="5"/>
    <s v="Congo"/>
    <m/>
    <m/>
    <m/>
  </r>
  <r>
    <x v="96"/>
    <s v="P29 -CONGO Frais d'hotel du 13 au 19/04/2025 à Madingou lieu OP 2(Crépin) (06 Nuitées)"/>
    <s v="Travel Subsistence"/>
    <s v="Investigations"/>
    <n v="150000"/>
    <n v="257.33004637087436"/>
    <n v="582.90899999999999"/>
    <s v="P29"/>
    <s v="P29-A-R5"/>
    <s v="PALF"/>
    <x v="5"/>
    <s v="Congo"/>
    <m/>
    <m/>
    <m/>
  </r>
  <r>
    <x v="97"/>
    <s v="Déjeûner des agents du PALF"/>
    <s v="Personnel"/>
    <s v="Team Building"/>
    <n v="55500"/>
    <n v="95.212117157223517"/>
    <n v="582.90899999999999"/>
    <s v="DOVI"/>
    <s v="CA-A-R33"/>
    <s v="PALF"/>
    <x v="5"/>
    <s v="Congo"/>
    <m/>
    <m/>
    <m/>
  </r>
  <r>
    <x v="98"/>
    <s v="Reglement honoraire du mois d'Avril 2025/IT87/3654843"/>
    <s v="Personnel"/>
    <s v="Investigations"/>
    <n v="255000"/>
    <n v="437.46107883048643"/>
    <n v="582.90899999999999"/>
    <s v="BCI"/>
    <s v="BQ-A-R11"/>
    <s v="PALF"/>
    <x v="5"/>
    <s v="Congo"/>
    <m/>
    <m/>
    <m/>
  </r>
  <r>
    <x v="98"/>
    <s v="Solde  honoraire contrat n°83 Dolisie cas NDOHO et NGOMA/ Maître BANZOUZI Alain/3654845"/>
    <s v="Lawyer Fees"/>
    <s v="Legal"/>
    <n v="300000"/>
    <n v="514.66009274174871"/>
    <n v="579.64599999999996"/>
    <s v="BCI"/>
    <s v="BQ-A-R12"/>
    <s v="PALF"/>
    <x v="1"/>
    <s v="Congo"/>
    <m/>
    <m/>
    <m/>
  </r>
  <r>
    <x v="98"/>
    <s v="Solde  honoraire contrat n°55 Brazzaville cas / Maître MALONGA Marie Hélène/3654844"/>
    <s v="Transport"/>
    <s v="Legal"/>
    <n v="300000"/>
    <n v="514.66009274174871"/>
    <n v="582.90899999999999"/>
    <s v="BCI"/>
    <s v="BQ-A-R13"/>
    <s v="PALF"/>
    <x v="5"/>
    <s v="Congo"/>
    <m/>
    <m/>
    <m/>
  </r>
  <r>
    <x v="99"/>
    <s v="Frais de carte de travail Donald-roméo"/>
    <s v="Personnel"/>
    <s v="Office"/>
    <n v="10500"/>
    <n v="18.013103245961204"/>
    <n v="582.90899999999999"/>
    <s v="Parfaite"/>
    <s v="CA-A-R36"/>
    <s v="PALF"/>
    <x v="5"/>
    <s v="Congo"/>
    <m/>
    <m/>
    <m/>
  </r>
  <r>
    <x v="99"/>
    <s v="Cumul frais de transport local du mois d'Avril 2025/Abraham"/>
    <s v="Transport"/>
    <s v="Legal"/>
    <n v="37750"/>
    <n v="64.761395003336716"/>
    <n v="582.90899999999999"/>
    <s v="Abraham"/>
    <s v="AB-A-D2"/>
    <s v="PALF"/>
    <x v="5"/>
    <s v="Congo"/>
    <m/>
    <m/>
    <m/>
  </r>
  <r>
    <x v="99"/>
    <s v="Achat carburant groupe electrogène Bureau"/>
    <s v="Office Materials"/>
    <s v="Office"/>
    <n v="31250"/>
    <n v="53.610426327265493"/>
    <n v="582.90899999999999"/>
    <s v="Abraham"/>
    <s v="CA-A-R35"/>
    <s v="PALF"/>
    <x v="5"/>
    <s v="Congo"/>
    <m/>
    <m/>
    <m/>
  </r>
  <r>
    <x v="99"/>
    <s v="Achat carburant groupe élèctrogène Bureau"/>
    <s v="Office Materials"/>
    <s v="Office"/>
    <n v="31250"/>
    <n v="53.610426327265493"/>
    <n v="582.90899999999999"/>
    <s v="Roderlin"/>
    <s v="CA-A-R34"/>
    <s v="PALF"/>
    <x v="5"/>
    <s v="Congo"/>
    <m/>
    <m/>
    <m/>
  </r>
  <r>
    <x v="99"/>
    <s v="Frais d'impression sur bâche"/>
    <s v="Office Materials"/>
    <s v="Office"/>
    <n v="20000"/>
    <n v="34.310672849449915"/>
    <n v="582.90899999999999"/>
    <s v="Evariste"/>
    <s v="CA-A-R37"/>
    <s v="PALF"/>
    <x v="5"/>
    <s v="Congo"/>
    <m/>
    <m/>
    <m/>
  </r>
  <r>
    <x v="100"/>
    <s v="Bonus à un informateur en RDC"/>
    <s v="Trust Building"/>
    <s v="Investigations"/>
    <n v="50000"/>
    <n v="85.776682123624781"/>
    <n v="582.90899999999999"/>
    <s v="DOVI"/>
    <s v="CA-A-R39"/>
    <s v="PALF"/>
    <x v="5"/>
    <s v="Congo"/>
    <m/>
    <m/>
    <m/>
  </r>
  <r>
    <x v="100"/>
    <s v=" frais de ramassage Ordure Avril 2025"/>
    <s v="Services"/>
    <s v="Office"/>
    <n v="8000"/>
    <n v="13.724269139779965"/>
    <n v="582.90899999999999"/>
    <s v="Parfaite"/>
    <s v="CA-A-R38"/>
    <s v="PALF"/>
    <x v="5"/>
    <s v="Congo"/>
    <m/>
    <m/>
    <m/>
  </r>
  <r>
    <x v="100"/>
    <s v="Cumul frais de frais de transport local du mois d'Avril 2025/P29"/>
    <s v="Transport"/>
    <s v="Investigations"/>
    <n v="48400"/>
    <n v="83.031828295668788"/>
    <n v="582.90899999999999"/>
    <s v="P29"/>
    <s v="P29-A-D2"/>
    <s v="PALF"/>
    <x v="5"/>
    <s v="Congo"/>
    <m/>
    <m/>
    <m/>
  </r>
  <r>
    <x v="100"/>
    <s v="Cumul frais de trust building du mois d'Avril 2025/P29"/>
    <s v="Trust Building"/>
    <s v="Investigations"/>
    <n v="9000"/>
    <n v="15.439802782252462"/>
    <n v="582.90899999999999"/>
    <s v="P29"/>
    <s v="P29-A-D3"/>
    <s v="PALF"/>
    <x v="5"/>
    <s v="Congo"/>
    <m/>
    <m/>
    <m/>
  </r>
  <r>
    <x v="100"/>
    <s v="Cumul frais de trust building du mois d'Avril 2025/T73"/>
    <s v="Trust Building"/>
    <s v="Investigations"/>
    <n v="15000"/>
    <n v="25.733004637087436"/>
    <n v="582.90899999999999"/>
    <s v="T73"/>
    <s v="T73-A-D2"/>
    <s v="PALF"/>
    <x v="5"/>
    <s v="Congo"/>
    <m/>
    <m/>
    <m/>
  </r>
  <r>
    <x v="100"/>
    <s v="Cumul frais de trust building du mois d'Avril 2025/G12"/>
    <s v="Trust Building"/>
    <s v="Investigations"/>
    <n v="10500"/>
    <n v="18.013103245961204"/>
    <n v="582.90899999999999"/>
    <s v="G12"/>
    <s v="G12-A-D2"/>
    <s v="PALF"/>
    <x v="5"/>
    <s v="Congo"/>
    <m/>
    <m/>
    <m/>
  </r>
  <r>
    <x v="100"/>
    <s v="Cumul frais de transport local du mois d'Avril 2025/Romain"/>
    <s v="Transport"/>
    <s v="Legal"/>
    <n v="23600"/>
    <n v="40.486593962350902"/>
    <n v="582.90899999999999"/>
    <s v="Romain"/>
    <s v="RM-A-D3"/>
    <s v="PALF"/>
    <x v="5"/>
    <s v="Congo"/>
    <m/>
    <m/>
    <m/>
  </r>
  <r>
    <x v="100"/>
    <s v="Frais de transport mission Maitre Alain à Owando du 28 au 30/04/2025"/>
    <s v="Transport"/>
    <s v="Legal"/>
    <n v="20000"/>
    <n v="34.310672849449915"/>
    <n v="582.90899999999999"/>
    <s v="Roderlin"/>
    <s v="CA-A-R40"/>
    <s v="PALF"/>
    <x v="5"/>
    <s v="Congo"/>
    <m/>
    <m/>
    <m/>
  </r>
  <r>
    <x v="100"/>
    <s v="Ration et frais d'hotel mission maitre Alain à Owando du 28 au 30/04/2025"/>
    <s v="Travel Subsistence"/>
    <s v="Legal"/>
    <n v="50000"/>
    <n v="85.776682123624781"/>
    <n v="582.90899999999999"/>
    <s v="Roderlin"/>
    <s v="CA-A-R41"/>
    <s v="PALF"/>
    <x v="5"/>
    <s v="Congo"/>
    <m/>
    <m/>
    <m/>
  </r>
  <r>
    <x v="100"/>
    <s v="Frais de transport mission Maitre Hélene à Owando du 28 au 30/04/2025"/>
    <s v="Transport"/>
    <s v="Legal"/>
    <n v="20000"/>
    <n v="34.310672849449915"/>
    <n v="582.90899999999999"/>
    <s v="Roderlin"/>
    <s v="CA-A-R42"/>
    <s v="PALF"/>
    <x v="5"/>
    <s v="Congo"/>
    <m/>
    <m/>
    <m/>
  </r>
  <r>
    <x v="100"/>
    <s v="Ration et frais d'hotel mission maitre Hélene à Owando du 28 au 30/04/2025"/>
    <s v="Travel Subsistence"/>
    <s v="Legal"/>
    <n v="50000"/>
    <n v="85.776682123624781"/>
    <n v="582.90899999999999"/>
    <s v="Roderlin"/>
    <s v="CA-A-R43"/>
    <s v="PALF"/>
    <x v="5"/>
    <s v="Congo"/>
    <m/>
    <m/>
    <m/>
  </r>
  <r>
    <x v="100"/>
    <s v="Frais de transfert Bonus à un informateur en RDC"/>
    <s v="Transfer Fees"/>
    <s v="Office"/>
    <n v="3253"/>
    <n v="5.5806309389630284"/>
    <n v="582.90899999999999"/>
    <s v="Roderlin"/>
    <s v="CA-A-R44"/>
    <s v="PALF"/>
    <x v="5"/>
    <s v="Congo"/>
    <m/>
    <m/>
    <m/>
  </r>
  <r>
    <x v="100"/>
    <s v="Paiement salaire du mois d'Avril 2025/Homéfa DOVI/3654855"/>
    <s v="Personnel"/>
    <s v="Management"/>
    <n v="1311000"/>
    <n v="2249.0646052814418"/>
    <n v="582.90899999999999"/>
    <s v="BCI"/>
    <s v="BQ-A-R14"/>
    <s v="PALF"/>
    <x v="5"/>
    <s v="Congo"/>
    <m/>
    <m/>
    <m/>
  </r>
  <r>
    <x v="100"/>
    <s v="Paiement salaire du mois d'Avril 2025/BAVOUMINA NZOUSSI Dina Parfaite/365854"/>
    <s v="Personnel"/>
    <s v="Office"/>
    <n v="230000"/>
    <n v="394.57273776867402"/>
    <n v="582.90899999999999"/>
    <s v="BCI"/>
    <s v="BQ-A-R15"/>
    <s v="PALF"/>
    <x v="5"/>
    <s v="Congo"/>
    <m/>
    <m/>
    <m/>
  </r>
  <r>
    <x v="100"/>
    <s v="Paiement salaire du mois d'Avril 2025/BOUNGOU MAKOSSO Abraham/3654851"/>
    <s v="Personnel"/>
    <s v="Legal"/>
    <n v="200000"/>
    <n v="343.10672849449912"/>
    <n v="582.90899999999999"/>
    <s v="BCI"/>
    <s v="BQ-A-R17"/>
    <s v="PALF"/>
    <x v="5"/>
    <s v="Congo"/>
    <m/>
    <m/>
    <m/>
  </r>
  <r>
    <x v="100"/>
    <s v="Paiement salaire du mois d'Avril 2025/LOUNDOU JeanRomain/3654853"/>
    <s v="Personnel"/>
    <s v="Legal"/>
    <n v="200000"/>
    <n v="343.10672849449912"/>
    <n v="582.90899999999999"/>
    <s v="BCI"/>
    <s v="BQ-A-R18"/>
    <s v="PALF"/>
    <x v="5"/>
    <s v="Congo"/>
    <m/>
    <m/>
    <m/>
  </r>
  <r>
    <x v="100"/>
    <s v="Paiement salaire du mois d'Avril 2025/Crepin IBOUILI-IBOUILI"/>
    <s v="Personnel"/>
    <s v="Legal"/>
    <n v="551482"/>
    <n v="946.08592421801688"/>
    <n v="582.90899999999999"/>
    <s v="BCI"/>
    <s v="BQ-A-R19"/>
    <s v="PALF"/>
    <x v="5"/>
    <s v="Congo"/>
    <m/>
    <m/>
    <m/>
  </r>
  <r>
    <x v="100"/>
    <s v="Paiement salaire du mois d'Avril 2025/PINDI BINGA Donald- Roméo"/>
    <s v="Personnel"/>
    <s v="Legal"/>
    <n v="300000"/>
    <n v="514.66009274174871"/>
    <n v="582.90899999999999"/>
    <s v="BCI"/>
    <s v="BQ-A-R21"/>
    <s v="PALF"/>
    <x v="5"/>
    <s v="Congo"/>
    <m/>
    <m/>
    <m/>
  </r>
  <r>
    <x v="100"/>
    <s v="Frais de virement salaire du mois d'avril 2025"/>
    <s v="Bank fees"/>
    <s v="Office"/>
    <n v="10665"/>
    <n v="18.296166296969169"/>
    <n v="582.90899999999999"/>
    <s v="BCI"/>
    <s v="BQ-A-R25"/>
    <s v="PALF"/>
    <x v="5"/>
    <s v="Congo"/>
    <m/>
    <m/>
    <m/>
  </r>
  <r>
    <x v="101"/>
    <s v="Achat billet Brazzaville-Owando/ Roderlin"/>
    <s v="Transport"/>
    <s v="Legal"/>
    <n v="7000"/>
    <n v="12.00873549730747"/>
    <n v="582.90899999999999"/>
    <s v="Roderlin"/>
    <s v="RO-A-R11"/>
    <s v="PALF"/>
    <x v="5"/>
    <s v="Congo"/>
    <m/>
    <m/>
    <m/>
  </r>
  <r>
    <x v="102"/>
    <s v="Achat billet Brazzaville-Owando/ Donald-Roméo"/>
    <s v="Transport "/>
    <s v="Legal"/>
    <n v="7000"/>
    <n v="12.00873549730747"/>
    <n v="582.90899999999999"/>
    <s v="Donald-Romeo"/>
    <s v="DR-A-R8"/>
    <s v="PALF"/>
    <x v="5"/>
    <s v="Congo"/>
    <m/>
    <m/>
    <m/>
  </r>
  <r>
    <x v="103"/>
    <s v="Reglement loyer du mois d'Avril 2025/3654847"/>
    <s v="Rent &amp; Utilities"/>
    <s v="Office"/>
    <n v="500000"/>
    <n v="857.76682123624789"/>
    <n v="582.90899999999999"/>
    <s v="BCI"/>
    <s v="BQ-A-R25"/>
    <s v="PALF"/>
    <x v="5"/>
    <s v="Congo"/>
    <m/>
    <m/>
    <m/>
  </r>
  <r>
    <x v="103"/>
    <s v=" Frais de prestation de nettoyage jardin PALF Avril 2025"/>
    <s v="Services"/>
    <s v="Office"/>
    <n v="20000"/>
    <n v="34.310672849449915"/>
    <n v="582.90899999999999"/>
    <s v="Parfaite"/>
    <s v="CA-A-R45"/>
    <s v="PALF"/>
    <x v="5"/>
    <s v="Congo"/>
    <m/>
    <m/>
    <m/>
  </r>
  <r>
    <x v="103"/>
    <s v="Reglement prestation de nettoyage  PALF du mois d'Avril 2025"/>
    <s v="Services"/>
    <s v="Office"/>
    <n v="75625"/>
    <n v="129.7372317119825"/>
    <n v="582.90899999999999"/>
    <s v="Parfaite"/>
    <s v="CA-A-R46"/>
    <s v="PALF"/>
    <x v="5"/>
    <s v="Congo"/>
    <m/>
    <m/>
    <m/>
  </r>
  <r>
    <x v="103"/>
    <s v="Roderlin-CONGO Ration du 28 au 30/04/2025 à Owando "/>
    <s v="Travel Subsistence"/>
    <s v="Legal"/>
    <n v="20000"/>
    <n v="34.310672849449915"/>
    <n v="582.90899999999999"/>
    <s v="Roderlin"/>
    <s v="RO-A-D4"/>
    <s v="PALF"/>
    <x v="5"/>
    <s v="Congo"/>
    <m/>
    <m/>
    <m/>
  </r>
  <r>
    <x v="103"/>
    <s v="DONALD ROMEO- CONGO Ration  du  28 au 30/04/2025 à Owando"/>
    <s v="Travel Subsistence"/>
    <s v="Legal"/>
    <n v="20000"/>
    <n v="34.310672849449915"/>
    <n v="582.90899999999999"/>
    <s v="Donald-Romeo"/>
    <s v="DR-A-D2"/>
    <s v="PALF"/>
    <x v="5"/>
    <s v="Congo"/>
    <m/>
    <m/>
    <m/>
  </r>
  <r>
    <x v="103"/>
    <s v="Cumul frais de transport local du mois d'Avril 2025/Evariste"/>
    <s v="Transport"/>
    <s v="Media"/>
    <n v="41900"/>
    <n v="71.880859619597572"/>
    <n v="582.90899999999999"/>
    <s v="Evariste"/>
    <s v="EV-A-D2"/>
    <s v="PALF"/>
    <x v="5"/>
    <s v="Congo"/>
    <m/>
    <m/>
    <m/>
  </r>
  <r>
    <x v="103"/>
    <s v="Bonus media portant sur l'annonce de l'audience du 29 Avril 2025 au tribunal de gande instance d'Owado "/>
    <s v="Bonus to media officer"/>
    <s v="Media"/>
    <n v="144000"/>
    <n v="247.03684451603939"/>
    <n v="582.90899999999999"/>
    <s v="Evariste"/>
    <s v="CA-A-D16"/>
    <s v="PALF"/>
    <x v="5"/>
    <s v="Congo"/>
    <m/>
    <m/>
    <m/>
  </r>
  <r>
    <x v="103"/>
    <s v="Frais de l'avis de recrutement  investigateurs dans le depeches de Brazzaville"/>
    <s v="Publication"/>
    <s v="Office"/>
    <n v="27000"/>
    <n v="46.319408346757385"/>
    <n v="582.90899999999999"/>
    <s v="Evariste"/>
    <s v="CA-A-R47"/>
    <s v="PALF"/>
    <x v="5"/>
    <s v="Congo"/>
    <m/>
    <m/>
    <m/>
  </r>
  <r>
    <x v="104"/>
    <s v="Cumul frais de transport local du mois d'Avril 2025/G12"/>
    <s v="Transport"/>
    <s v="Investigations"/>
    <n v="59500"/>
    <n v="102.07425172711349"/>
    <n v="582.90899999999999"/>
    <s v="G12"/>
    <s v="G12-A-D3"/>
    <s v="PALF"/>
    <x v="5"/>
    <s v="Congo"/>
    <m/>
    <m/>
    <m/>
  </r>
  <r>
    <x v="104"/>
    <s v="Frais de la matérialisation de décisions de justice/Frais d'expédition/Paiement de l'acte d'appel"/>
    <s v="Court fees"/>
    <s v="Legal"/>
    <n v="40000"/>
    <n v="68.62134569889983"/>
    <n v="582.90899999999999"/>
    <s v="Roderlin"/>
    <s v="RO-A-R12"/>
    <s v="PALF"/>
    <x v="5"/>
    <s v="Congo"/>
    <m/>
    <m/>
    <m/>
  </r>
  <r>
    <x v="104"/>
    <s v="Achat billet Owando-Brazzaville/ Roderlin"/>
    <s v="Transport"/>
    <s v="Legal"/>
    <n v="7000"/>
    <n v="12.00873549730747"/>
    <n v="582.90899999999999"/>
    <s v="Roderlin"/>
    <s v="RO-A-R13"/>
    <s v="PALF"/>
    <x v="5"/>
    <s v="Congo"/>
    <m/>
    <m/>
    <m/>
  </r>
  <r>
    <x v="104"/>
    <s v="Roderlin-CONGO frais d'hôtel du 28 au 30/04/2025 à Owando (02 nuitées)"/>
    <s v="Travel Subsistence"/>
    <s v="Legal"/>
    <n v="30000"/>
    <n v="51.466009274174873"/>
    <n v="582.90899999999999"/>
    <s v="Roderlin"/>
    <s v="RO-A-R14"/>
    <s v="PALF"/>
    <x v="5"/>
    <s v="Congo"/>
    <m/>
    <m/>
    <m/>
  </r>
  <r>
    <x v="104"/>
    <s v="Paiement salaire du mois d'Avril 2025/Evariste LELOUSSI/3654857"/>
    <s v="Personnel"/>
    <s v="Media"/>
    <n v="453388"/>
    <n v="777.80236709331984"/>
    <n v="582.90899999999999"/>
    <s v="BCI"/>
    <s v="BQ-A-R20"/>
    <s v="PALF"/>
    <x v="5"/>
    <s v="Congo"/>
    <m/>
    <m/>
    <m/>
  </r>
  <r>
    <x v="105"/>
    <s v="Achat billet Owando-Brazzaville/ Donald-Roméo"/>
    <s v="Transport "/>
    <s v="Legal"/>
    <n v="7000"/>
    <n v="12.00873549730747"/>
    <n v="582.90899999999999"/>
    <s v="Donald-Romeo"/>
    <s v="DR-A-R9"/>
    <s v="PALF"/>
    <x v="5"/>
    <s v="Congo"/>
    <m/>
    <m/>
    <m/>
  </r>
  <r>
    <x v="105"/>
    <s v="Cumul frais de transport local du mois d'Avril 2025/DOVI"/>
    <s v="Transport"/>
    <s v="Management"/>
    <n v="56000"/>
    <n v="96.069883978459757"/>
    <n v="582.90899999999999"/>
    <s v="DOVI"/>
    <s v="DH-A-D1"/>
    <s v="PALF"/>
    <x v="5"/>
    <s v="Congo"/>
    <m/>
    <m/>
    <m/>
  </r>
  <r>
    <x v="105"/>
    <s v="Cumul frais de transport local du mois d'Avril 2025/Crépin"/>
    <s v="Transport"/>
    <s v="Legal"/>
    <n v="21200"/>
    <n v="36.369313220416906"/>
    <n v="582.90899999999999"/>
    <s v="Crépin"/>
    <s v="CR-A-D2"/>
    <s v="PALF"/>
    <x v="5"/>
    <s v="Congo"/>
    <m/>
    <m/>
    <m/>
  </r>
  <r>
    <x v="105"/>
    <s v="Cumul frais de transport local du mois d'Avril 2025/ Parfaite"/>
    <s v="Transport"/>
    <s v="Office"/>
    <n v="40500"/>
    <n v="69.479112520136084"/>
    <n v="582.90899999999999"/>
    <s v="Parfaite"/>
    <s v="P-A-D1"/>
    <s v="PALF"/>
    <x v="5"/>
    <s v="Congo"/>
    <m/>
    <m/>
    <m/>
  </r>
  <r>
    <x v="105"/>
    <s v="Reglement facture internet periode du 01/05 au 31/05/2025 bureau PALF"/>
    <s v="Internet"/>
    <s v="Office"/>
    <n v="45050"/>
    <n v="77.284790593385935"/>
    <n v="582.90899999999999"/>
    <s v="Parfaite"/>
    <s v="CA-A-R48"/>
    <s v="PALF"/>
    <x v="5"/>
    <s v="Congo"/>
    <m/>
    <m/>
    <m/>
  </r>
  <r>
    <x v="105"/>
    <s v="Team building à l'occassion du 1er Mai 2025"/>
    <s v="Personnel"/>
    <s v="Team Building"/>
    <n v="199400"/>
    <n v="342.07740830901565"/>
    <n v="582.90899999999999"/>
    <s v="Parfaite"/>
    <s v="CA-A-R49"/>
    <s v="PALF"/>
    <x v="5"/>
    <s v="Congo"/>
    <m/>
    <m/>
    <m/>
  </r>
  <r>
    <x v="105"/>
    <s v="Cumul frais de transport local du mois d'Avril 2025/T73"/>
    <s v="Transport"/>
    <s v="Investigations"/>
    <n v="72100"/>
    <n v="123.68997562226694"/>
    <n v="582.90899999999999"/>
    <s v="T73"/>
    <s v="T73-A-D3"/>
    <s v="PALF"/>
    <x v="5"/>
    <s v="Congo"/>
    <m/>
    <m/>
    <m/>
  </r>
  <r>
    <x v="105"/>
    <s v="Cumul frais de transport local du mois d'Avril 2025/Roderlin"/>
    <s v="Transport"/>
    <s v="Legal"/>
    <n v="46800"/>
    <n v="80.286974467712795"/>
    <n v="582.90899999999999"/>
    <s v="Roderlin"/>
    <s v="RO-A-D5"/>
    <s v="PALF"/>
    <x v="5"/>
    <s v="Congo"/>
    <m/>
    <m/>
    <m/>
  </r>
  <r>
    <x v="105"/>
    <s v="DONALD ROMEO- CONGO Frais d'hôtel du  28 au 30/04/2025 à Owando (02 Nuitées)"/>
    <s v="Travel Subsistence"/>
    <s v="Legal"/>
    <n v="30000"/>
    <n v="51.466009274174873"/>
    <n v="582.90899999999999"/>
    <s v="Donald-Romeo"/>
    <s v="DR-A-R10"/>
    <s v="PALF"/>
    <x v="5"/>
    <s v="Congo"/>
    <m/>
    <m/>
    <m/>
  </r>
  <r>
    <x v="105"/>
    <s v="Cumul frais de transport local du mois d'Avril 2025/ Donald-Romeo"/>
    <s v="Transport "/>
    <s v="Legal"/>
    <n v="30000"/>
    <n v="51.466009274174873"/>
    <n v="582.90899999999999"/>
    <s v="Donald-Romeo"/>
    <s v="DR-A-D3"/>
    <s v="PALF"/>
    <x v="5"/>
    <s v="Congo"/>
    <m/>
    <m/>
    <m/>
  </r>
  <r>
    <x v="105"/>
    <s v="Reglement honoraire du mois de d'Avril 2025/P29/3654846"/>
    <s v="Personnel"/>
    <s v="Investigations"/>
    <n v="440000"/>
    <n v="754.8348026878981"/>
    <n v="582.90899999999999"/>
    <s v="BCI"/>
    <s v="BQ-A-R22"/>
    <s v="PALF"/>
    <x v="5"/>
    <s v="Congo"/>
    <m/>
    <m/>
    <m/>
  </r>
  <r>
    <x v="105"/>
    <s v="Reglement honoraire du mois d'Avril 2025/G12/3654859"/>
    <s v="Personnel"/>
    <s v="Investigations"/>
    <n v="240000"/>
    <n v="411.72807419339898"/>
    <n v="582.90899999999999"/>
    <s v="BCI"/>
    <s v="BQ-A-R23"/>
    <s v="PALF"/>
    <x v="5"/>
    <s v="Congo"/>
    <m/>
    <m/>
    <m/>
  </r>
  <r>
    <x v="105"/>
    <s v="Reglement honoraire du mois d'Avril 2025/T73/365482960"/>
    <s v="Personnel"/>
    <s v="Investigations"/>
    <n v="240000"/>
    <n v="411.72807419339898"/>
    <n v="582.90899999999999"/>
    <s v="BCI"/>
    <s v="BQ-A-R24"/>
    <s v="PALF"/>
    <x v="5"/>
    <s v="Congo"/>
    <m/>
    <m/>
    <m/>
  </r>
  <r>
    <x v="106"/>
    <s v="Bonus media portant sur l'interpellation de 2 Présumés trafiquants le 29/04/2025 à Owando"/>
    <s v="Bonus to media officer"/>
    <s v="Media"/>
    <n v="124000"/>
    <n v="213.92367065415789"/>
    <n v="579.64599999999996"/>
    <s v="Evariste"/>
    <s v="CA-MA-D1"/>
    <s v="PALF"/>
    <x v="1"/>
    <s v="Congo"/>
    <m/>
    <m/>
    <m/>
  </r>
  <r>
    <x v="107"/>
    <s v="Achat billet Brazzaville-kimongo/ P29"/>
    <s v="Transport"/>
    <s v="Investigations"/>
    <n v="12000"/>
    <n v="20.702290708466894"/>
    <n v="579.64599999999996"/>
    <s v="P29"/>
    <s v="P29-MA-R1"/>
    <s v="PALF"/>
    <x v="1"/>
    <s v="Congo"/>
    <m/>
    <m/>
    <m/>
  </r>
  <r>
    <x v="107"/>
    <s v="P29 - CONGO Ration  du 03 au 10/05/2025 à  (07 Nuitées)"/>
    <s v="Travel Subsistence"/>
    <s v="Investigations"/>
    <n v="70000"/>
    <n v="120.76336246605688"/>
    <n v="579.64599999999996"/>
    <s v="P29"/>
    <s v="P29-MA-D1"/>
    <s v="PALF"/>
    <x v="1"/>
    <s v="Congo"/>
    <m/>
    <m/>
    <m/>
  </r>
  <r>
    <x v="107"/>
    <s v="achat billet : brazzaville - Pointe noire/T73"/>
    <s v="Transport"/>
    <s v="Investigations"/>
    <n v="12000"/>
    <n v="20.702290708466894"/>
    <n v="579.64599999999996"/>
    <s v="T73"/>
    <s v="T73-MA-R1"/>
    <s v="PALF"/>
    <x v="1"/>
    <s v="Congo"/>
    <m/>
    <m/>
    <m/>
  </r>
  <r>
    <x v="107"/>
    <s v="T73-CONGO Ration  du 03 au 10 /05/2025  à Pointe Noire, Madingo Kayes"/>
    <s v="Travel Subsistence"/>
    <s v="Investigations"/>
    <n v="70000"/>
    <n v="120.76336246605688"/>
    <n v="579.64599999999996"/>
    <s v="T73"/>
    <s v="T73-MA-D1"/>
    <s v="PALF"/>
    <x v="1"/>
    <s v="Congo"/>
    <m/>
    <m/>
    <m/>
  </r>
  <r>
    <x v="107"/>
    <s v="Achat billet Brazzaville - loudima /G12"/>
    <s v="Transport"/>
    <s v="Investigations"/>
    <n v="7000"/>
    <n v="12.076336246605688"/>
    <n v="579.64599999999996"/>
    <s v="G12"/>
    <s v="G12-MA-R1"/>
    <s v="PALF"/>
    <x v="1"/>
    <s v="Congo"/>
    <m/>
    <m/>
    <m/>
  </r>
  <r>
    <x v="107"/>
    <s v="G12-CONGO Rations du 03 au 10 /05/2025 à Sibiti, Zanaga et Loudima"/>
    <s v="Travel Subsistence"/>
    <s v="Investigations"/>
    <n v="70000"/>
    <n v="120.76336246605688"/>
    <n v="579.64599999999996"/>
    <s v="G12"/>
    <s v="G12-MA-D1"/>
    <s v="PALF"/>
    <x v="1"/>
    <s v="Congo"/>
    <m/>
    <m/>
    <m/>
  </r>
  <r>
    <x v="107"/>
    <s v="Achat billet Loudima - Sibiti /G12"/>
    <s v="Transport"/>
    <s v="Investigations"/>
    <n v="4000"/>
    <n v="6.9007635694889649"/>
    <n v="579.64599999999996"/>
    <s v="G12"/>
    <s v="G12-MA-R2"/>
    <s v="PALF"/>
    <x v="1"/>
    <s v="Congo"/>
    <m/>
    <m/>
    <m/>
  </r>
  <r>
    <x v="108"/>
    <s v="Paiement salaire du mois d'Avril 2025/FOUMBA Roderlin/36552"/>
    <s v="Personnel"/>
    <s v="Legal"/>
    <n v="200000"/>
    <n v="343.10696393911502"/>
    <n v="582.90899999999999"/>
    <s v="BCI"/>
    <s v="BQ-MA-R13"/>
    <s v="PALF"/>
    <x v="5"/>
    <s v="Congo"/>
    <m/>
    <m/>
    <m/>
  </r>
  <r>
    <x v="108"/>
    <s v="credit  teléphonique MTN/PALF/Première partie du mois de Mai 2025/Management"/>
    <s v="Telephone"/>
    <s v="Management"/>
    <n v="21000"/>
    <n v="36.026231213607076"/>
    <n v="579.64599999999996"/>
    <s v="DOVI"/>
    <s v="DH-MA-R2"/>
    <s v="PALF"/>
    <x v="1"/>
    <s v="Congo"/>
    <m/>
    <m/>
    <m/>
  </r>
  <r>
    <x v="108"/>
    <s v="credit  teléphonique MTN/PALF/Première partie du mois de Mai 2025/Legal"/>
    <s v="Telephone"/>
    <s v="Legal"/>
    <n v="16000"/>
    <n v="27.448557115129201"/>
    <n v="579.64599999999996"/>
    <s v="Crépin"/>
    <s v="CR-MA-R12"/>
    <s v="PALF"/>
    <x v="1"/>
    <s v="Congo"/>
    <m/>
    <m/>
    <m/>
  </r>
  <r>
    <x v="108"/>
    <s v="credit  teléphonique Airtel/PALF/Première partie du mois de Mai 2025/Legal"/>
    <s v="Telephone"/>
    <s v="Legal"/>
    <n v="5000"/>
    <n v="8.5776740984778748"/>
    <n v="579.64599999999996"/>
    <s v="Crépin"/>
    <s v="CR-MA-R13"/>
    <s v="PALF"/>
    <x v="1"/>
    <s v="Congo"/>
    <m/>
    <m/>
    <m/>
  </r>
  <r>
    <x v="108"/>
    <s v="Bonus du mois de Avril 2025/Crépin"/>
    <s v="Personnel"/>
    <s v="Legal"/>
    <n v="30000"/>
    <n v="51.466044590867249"/>
    <n v="582.90899999999999"/>
    <s v="Crépin"/>
    <s v="CA-MA-D7"/>
    <s v="PALF"/>
    <x v="5"/>
    <s v="Congo"/>
    <m/>
    <m/>
    <m/>
  </r>
  <r>
    <x v="108"/>
    <s v="Frais de transfert d'argent à P29 "/>
    <s v="Transfer Fees"/>
    <s v="Office"/>
    <n v="3225"/>
    <n v="5.5325997935182292"/>
    <n v="579.64599999999996"/>
    <s v="Parfaite"/>
    <s v="CA-MA-R1"/>
    <s v="PALF"/>
    <x v="1"/>
    <s v="Congo"/>
    <m/>
    <m/>
    <m/>
  </r>
  <r>
    <x v="108"/>
    <s v="Bonus du mois d'Avril 2025/Parfaite"/>
    <s v="Personnel"/>
    <s v="Office"/>
    <n v="30000"/>
    <n v="51.466044590867249"/>
    <n v="582.90899999999999"/>
    <s v="Parfaite"/>
    <s v="CA-MA-D2"/>
    <s v="PALF"/>
    <x v="5"/>
    <s v="Congo"/>
    <m/>
    <m/>
    <m/>
  </r>
  <r>
    <x v="108"/>
    <s v="credit  teléphonique MTN/PALF/Première partie du mois de Mai 2025/Office"/>
    <s v="Telephone"/>
    <s v="Office"/>
    <n v="21000"/>
    <n v="36.026231213607076"/>
    <n v="579.64599999999996"/>
    <s v="Parfaite"/>
    <s v="P-MA-R1"/>
    <s v="PALF"/>
    <x v="1"/>
    <s v="Congo"/>
    <m/>
    <m/>
    <m/>
  </r>
  <r>
    <x v="108"/>
    <s v="credit  teléphonique MTN/PALF/Première partie du mois de Mai 2025/Investigation"/>
    <s v="Telephone"/>
    <s v="Investigations"/>
    <n v="10000"/>
    <n v="17.15534819695575"/>
    <n v="579.64599999999996"/>
    <s v="P29"/>
    <s v="P29-MA-R19"/>
    <s v="PALF"/>
    <x v="1"/>
    <s v="Congo"/>
    <m/>
    <m/>
    <m/>
  </r>
  <r>
    <x v="108"/>
    <s v="credit  teléphonique Airtel/PALF/Première partie du mois de mai 2025/Investigation"/>
    <s v="Telephone"/>
    <s v="Investigations"/>
    <n v="16000"/>
    <n v="27.448557115129201"/>
    <n v="579.64599999999996"/>
    <s v="P29"/>
    <s v="P29-MA-R20"/>
    <s v="PALF"/>
    <x v="1"/>
    <s v="Congo"/>
    <m/>
    <m/>
    <m/>
  </r>
  <r>
    <x v="108"/>
    <s v="credit  teléphonique MTN/PALF/Première partie du mois de Mai 2025/Investigation"/>
    <s v="Telephone"/>
    <s v="Investigations"/>
    <n v="26000"/>
    <n v="44.603905312084947"/>
    <n v="579.64599999999996"/>
    <s v="T73"/>
    <s v="T73-MA-R17"/>
    <s v="PALF"/>
    <x v="1"/>
    <s v="Congo"/>
    <m/>
    <m/>
    <m/>
  </r>
  <r>
    <x v="108"/>
    <s v="credit  teléphonique MTN/PALF/Première partie du mois de mai 2025/Investigation"/>
    <s v="Telephone"/>
    <s v="Investigations"/>
    <n v="26000"/>
    <n v="44.603905312084947"/>
    <n v="579.64599999999996"/>
    <s v="G12"/>
    <s v="G12-MA-R19"/>
    <s v="PALF"/>
    <x v="1"/>
    <s v="Congo"/>
    <m/>
    <m/>
    <m/>
  </r>
  <r>
    <x v="108"/>
    <s v="credit  teléphonique MTN/PALF/Première partie du mois de Mai 2025/Legal"/>
    <s v="Telephone"/>
    <s v="Legal"/>
    <n v="16000"/>
    <n v="27.448557115129201"/>
    <n v="579.64599999999996"/>
    <s v="Abraham"/>
    <s v="AB-MA-R3"/>
    <s v="PALF"/>
    <x v="1"/>
    <s v="Congo"/>
    <m/>
    <m/>
    <m/>
  </r>
  <r>
    <x v="108"/>
    <s v="credit  teléphonique Airtel/PALF/Première partie du mois de mai 2025/Legal"/>
    <s v="Telephone"/>
    <s v="Legal"/>
    <n v="5000"/>
    <n v="8.5776740984778748"/>
    <n v="579.64599999999996"/>
    <s v="Abraham"/>
    <s v="AB-MA-R4"/>
    <s v="PALF"/>
    <x v="1"/>
    <s v="Congo"/>
    <m/>
    <m/>
    <m/>
  </r>
  <r>
    <x v="108"/>
    <s v="Frais de transfert d'argent à G12 et T73"/>
    <s v="Transfer Fees"/>
    <s v="Office"/>
    <n v="4960"/>
    <n v="8.5090527056900527"/>
    <n v="579.64599999999996"/>
    <s v="Abraham"/>
    <s v="CA-MA-R2"/>
    <s v="PALF"/>
    <x v="1"/>
    <s v="Congo"/>
    <m/>
    <m/>
    <m/>
  </r>
  <r>
    <x v="108"/>
    <s v="Bonus du mois d'Avril 2025/Abraham"/>
    <s v="Personnel"/>
    <s v="Legal"/>
    <n v="30000"/>
    <n v="51.466044590867249"/>
    <n v="582.90899999999999"/>
    <s v="Abraham"/>
    <s v="CA-MA-D5"/>
    <s v="PALF"/>
    <x v="5"/>
    <s v="Congo"/>
    <m/>
    <m/>
    <m/>
  </r>
  <r>
    <x v="108"/>
    <s v="Bonus du mois de d'avril 2025/Roderlin"/>
    <s v="Personnel"/>
    <s v="Legal"/>
    <n v="30000"/>
    <n v="51.466044590867249"/>
    <n v="582.90899999999999"/>
    <s v="Roderlin"/>
    <s v="CA-MA-D6"/>
    <s v="PALF"/>
    <x v="5"/>
    <s v="Congo"/>
    <m/>
    <m/>
    <m/>
  </r>
  <r>
    <x v="108"/>
    <s v="Bonus du mois d'Avril 2025/Donal-Roméo"/>
    <s v="Personnel"/>
    <s v="Legal"/>
    <n v="30000"/>
    <n v="51.466044590867249"/>
    <n v="582.90899999999999"/>
    <s v="Donald-Romeo"/>
    <s v="CA-MA-D4"/>
    <s v="PALF"/>
    <x v="5"/>
    <s v="Congo"/>
    <m/>
    <m/>
    <m/>
  </r>
  <r>
    <x v="108"/>
    <s v="credit  teléphonique MTN/PALF/Première partie du mois de Mai 2025/Legal"/>
    <s v="Telephone"/>
    <s v="Legal"/>
    <n v="21000"/>
    <n v="36.026231213607076"/>
    <n v="579.64599999999996"/>
    <s v="Donald-Romeo"/>
    <s v="DR-MA-R9"/>
    <s v="PALF"/>
    <x v="1"/>
    <s v="Congo"/>
    <m/>
    <m/>
    <m/>
  </r>
  <r>
    <x v="108"/>
    <s v="Bonus du mois d'Avril 2025/Romain"/>
    <s v="Personnel"/>
    <s v="Legal"/>
    <n v="30000"/>
    <n v="51.466044590867249"/>
    <n v="582.90899999999999"/>
    <s v="Romain"/>
    <s v="CA-MA-D3"/>
    <s v="PALF"/>
    <x v="5"/>
    <s v="Congo"/>
    <m/>
    <m/>
    <m/>
  </r>
  <r>
    <x v="108"/>
    <s v="credit  teléphonique MTN/PALF/Première partie du mois de Mai 2025/Legal"/>
    <s v="Telephone"/>
    <s v="Legal"/>
    <n v="21000"/>
    <n v="36.026231213607076"/>
    <n v="579.64599999999996"/>
    <s v="Romain"/>
    <s v="RM-MA-R8"/>
    <s v="PALF"/>
    <x v="1"/>
    <s v="Congo"/>
    <m/>
    <m/>
    <m/>
  </r>
  <r>
    <x v="109"/>
    <s v="Solde  honoraire contrat n°82 Owando cas NGASSAKI et ELOMBO/ Maître BANZOUZI Alain/3654862"/>
    <s v="Lawyer Fees"/>
    <s v="Legal"/>
    <n v="300000"/>
    <n v="514.6604459086725"/>
    <n v="579.64599999999996"/>
    <s v="BCI"/>
    <s v="BQ-MA-R1"/>
    <s v="PALF"/>
    <x v="1"/>
    <s v="Congo"/>
    <m/>
    <m/>
    <m/>
  </r>
  <r>
    <x v="109"/>
    <s v="Règlement loyer/Avril 2025 (Coordinateur)"/>
    <s v="Personnel"/>
    <s v="Management"/>
    <n v="174625"/>
    <n v="299.57526788933978"/>
    <n v="582.90899999999999"/>
    <s v="DOVI"/>
    <s v="DH-MA-R1"/>
    <s v="PALF"/>
    <x v="5"/>
    <s v="Congo"/>
    <m/>
    <m/>
    <m/>
  </r>
  <r>
    <x v="109"/>
    <s v="P29 -CONGO Frais d'hotel du 03 au 06/05/2025 à Kimongo"/>
    <s v="Travel Subsistence"/>
    <s v="Investigations"/>
    <n v="45000"/>
    <n v="77.199066886300869"/>
    <n v="579.64599999999996"/>
    <s v="P29"/>
    <s v="P29-MA-R2"/>
    <s v="PALF"/>
    <x v="1"/>
    <s v="Congo"/>
    <m/>
    <m/>
    <m/>
  </r>
  <r>
    <x v="109"/>
    <s v="Achat billet kimongo-dibeni/P29"/>
    <s v="Transport"/>
    <s v="Investigations"/>
    <n v="6000"/>
    <n v="10.29320891817345"/>
    <n v="579.64599999999996"/>
    <s v="P29"/>
    <s v="P29-MA-R3"/>
    <s v="PALF"/>
    <x v="1"/>
    <s v="Congo"/>
    <m/>
    <m/>
    <m/>
  </r>
  <r>
    <x v="109"/>
    <s v="T73 - CONGO Frais d'hotel du 03 au 06/05/2025  à Pointe noire (03 Nuitées)"/>
    <s v="Travel Subsistence"/>
    <s v="Investigations"/>
    <n v="45000"/>
    <n v="77.199066886300869"/>
    <n v="579.64599999999996"/>
    <s v="T73"/>
    <s v="T73-MA-R2"/>
    <s v="PALF"/>
    <x v="1"/>
    <s v="Congo"/>
    <m/>
    <m/>
    <m/>
  </r>
  <r>
    <x v="109"/>
    <s v="Achat billet Pointe noire - Madingo kaye/T73"/>
    <s v="Transport"/>
    <s v="Investigations"/>
    <n v="5000"/>
    <n v="8.5776740984778748"/>
    <n v="579.64599999999996"/>
    <s v="T73"/>
    <s v="T73-MA-R3"/>
    <s v="PALF"/>
    <x v="1"/>
    <s v="Congo"/>
    <m/>
    <m/>
    <m/>
  </r>
  <r>
    <x v="109"/>
    <s v="G12-CONGO Frais d'hôtel du 03 au 06 /05/2025 à SIBITI (03 Nuitées)"/>
    <s v="Travel Subsistence"/>
    <s v="Investigations"/>
    <n v="45000"/>
    <n v="77.199066886300869"/>
    <n v="579.64599999999996"/>
    <s v="G12"/>
    <s v="G12-MA-R3"/>
    <s v="PALF"/>
    <x v="1"/>
    <s v="Congo"/>
    <m/>
    <m/>
    <m/>
  </r>
  <r>
    <x v="109"/>
    <s v="Achat billet Sibiti - Zanaga /G12"/>
    <s v="Transport"/>
    <s v="Investigations"/>
    <n v="10000"/>
    <n v="17.15534819695575"/>
    <n v="579.64599999999996"/>
    <s v="G12"/>
    <s v="G12-MA-R4"/>
    <s v="PALF"/>
    <x v="1"/>
    <s v="Congo"/>
    <m/>
    <m/>
    <m/>
  </r>
  <r>
    <x v="109"/>
    <s v="Frais de transport mission Maitre Alain à Dolisie du 07 au 10/05/2025"/>
    <s v="Transport"/>
    <s v="Legal"/>
    <n v="28000"/>
    <n v="48.034974951476102"/>
    <n v="579.64599999999996"/>
    <s v="Abraham"/>
    <s v="CA-MA-R3"/>
    <s v="PALF"/>
    <x v="1"/>
    <s v="Congo"/>
    <m/>
    <m/>
    <m/>
  </r>
  <r>
    <x v="109"/>
    <s v="Ration et frais d'hotel mission maitre Alain à Dolisie du 07 au 10/05/2025"/>
    <s v="Travel Subsistence"/>
    <s v="Legal"/>
    <n v="75000"/>
    <n v="128.66511147716813"/>
    <n v="579.64599999999996"/>
    <s v="Abraham"/>
    <s v="CA-MA-R4"/>
    <s v="PALF"/>
    <x v="1"/>
    <s v="Congo"/>
    <m/>
    <m/>
    <m/>
  </r>
  <r>
    <x v="109"/>
    <s v="credit  teléphonique MTN/PALF/Première partie du mois de Mai 2025/Legal"/>
    <s v="Telephone"/>
    <s v="Legal"/>
    <n v="21000"/>
    <n v="36.026231213607076"/>
    <n v="579.64599999999996"/>
    <s v="Roderlin"/>
    <s v="RO-MA-R6"/>
    <s v="PALF"/>
    <x v="1"/>
    <s v="Congo"/>
    <m/>
    <m/>
    <m/>
  </r>
  <r>
    <x v="109"/>
    <s v="Achat billet Brazzaville-Dolisie/Donald-Roméo"/>
    <s v="Transport "/>
    <s v="Legal"/>
    <n v="10000"/>
    <n v="17.15534819695575"/>
    <n v="579.64599999999996"/>
    <s v="Donald-Romeo"/>
    <s v="DR-MA-R1"/>
    <s v="PALF"/>
    <x v="1"/>
    <s v="Congo"/>
    <m/>
    <m/>
    <m/>
  </r>
  <r>
    <x v="109"/>
    <s v="Achat billet:Brazzaville-Dolisie/ Romain"/>
    <s v="Transport"/>
    <s v="Legal"/>
    <n v="10000"/>
    <n v="17.15534819695575"/>
    <n v="579.64599999999996"/>
    <s v="Romain"/>
    <s v="RM-MA-R1"/>
    <s v="PALF"/>
    <x v="1"/>
    <s v="Congo"/>
    <m/>
    <m/>
    <m/>
  </r>
  <r>
    <x v="110"/>
    <s v="Reglement Facture Gardiennage Mois d'Avril 2025/3654863"/>
    <s v="Services"/>
    <s v="Office"/>
    <n v="260000"/>
    <n v="446.03905312084947"/>
    <n v="579.64599999999996"/>
    <s v="BCI"/>
    <s v="BQ-MA-R2"/>
    <s v="PALF"/>
    <x v="1"/>
    <s v="Congo"/>
    <m/>
    <m/>
    <m/>
  </r>
  <r>
    <x v="110"/>
    <s v="Achat produit d'entretien lait,sucre,javel,papier toilette,sucre,café/Bureau PALF"/>
    <s v="Office Materials"/>
    <s v="Office"/>
    <n v="47400"/>
    <n v="81.316350453570251"/>
    <n v="579.64599999999996"/>
    <s v="Parfaite"/>
    <s v="CA-MA-R5"/>
    <s v="PALF"/>
    <x v="1"/>
    <s v="Congo"/>
    <m/>
    <m/>
    <m/>
  </r>
  <r>
    <x v="110"/>
    <s v="DONALD-ROMEO/ CONGO Ration  du  07 au 10/05/2025 à Dolisie"/>
    <s v="Travel Subsistence"/>
    <s v="Legal"/>
    <n v="30000"/>
    <n v="51.466044590867249"/>
    <n v="579.64599999999996"/>
    <s v="Donald-Romeo"/>
    <s v="DR-MA-D1"/>
    <s v="PALF"/>
    <x v="1"/>
    <s v="Congo"/>
    <m/>
    <m/>
    <m/>
  </r>
  <r>
    <x v="110"/>
    <s v="ROMAIN-CONGO Ration du 07 au 10/05/2025 à Dolisie"/>
    <s v="Travel Subsistence"/>
    <s v="Legal"/>
    <n v="30000"/>
    <n v="51.466044590867249"/>
    <n v="579.64599999999996"/>
    <s v="Romain"/>
    <s v="RM-MA-D1"/>
    <s v="PALF"/>
    <x v="1"/>
    <s v="Congo"/>
    <m/>
    <m/>
    <m/>
  </r>
  <r>
    <x v="111"/>
    <s v="P29 -CONGO Frais d'hotel du 06 au 08/05/2025 à Dibeni"/>
    <s v="Travel Subsistence"/>
    <s v="Investigations"/>
    <n v="30000"/>
    <n v="51.466044590867249"/>
    <n v="579.64599999999996"/>
    <s v="P29"/>
    <s v="P29-MA-R4"/>
    <s v="PALF"/>
    <x v="1"/>
    <s v="Congo"/>
    <m/>
    <m/>
    <m/>
  </r>
  <r>
    <x v="111"/>
    <s v="Achat billet dibeni-dolisie/P29"/>
    <s v="Transport"/>
    <s v="Investigations"/>
    <n v="7000"/>
    <n v="12.008743737869025"/>
    <n v="579.64599999999996"/>
    <s v="P29"/>
    <s v="P29-MA-R5"/>
    <s v="PALF"/>
    <x v="1"/>
    <s v="Congo"/>
    <m/>
    <m/>
    <m/>
  </r>
  <r>
    <x v="111"/>
    <s v="T73 - CONGO Frais d'hotel du 06 au 08/05/2025  à Madingo kayes(02 Nuitées)"/>
    <s v="Travel Subsistence"/>
    <s v="Investigations"/>
    <n v="30000"/>
    <n v="51.466044590867249"/>
    <n v="579.64599999999996"/>
    <s v="T73"/>
    <s v="T73-MA-R4"/>
    <s v="PALF"/>
    <x v="1"/>
    <s v="Congo"/>
    <m/>
    <m/>
    <m/>
  </r>
  <r>
    <x v="111"/>
    <s v="Achat billet  Madingo kaye - Pounga/ T73"/>
    <s v="Transport"/>
    <s v="Investigations"/>
    <n v="7000"/>
    <n v="12.008743737869025"/>
    <n v="579.64599999999996"/>
    <s v="T73"/>
    <s v="T73-MA-R5"/>
    <s v="PALF"/>
    <x v="1"/>
    <s v="Congo"/>
    <m/>
    <m/>
    <m/>
  </r>
  <r>
    <x v="111"/>
    <s v="G12-CONGO Frais d'hotel du 06 au 08 /05/2025 à Zanaga (02 Nuitées)"/>
    <s v="Travel Subsistence"/>
    <s v="Investigations"/>
    <n v="30000"/>
    <n v="51.466044590867249"/>
    <n v="579.64599999999996"/>
    <s v="G12"/>
    <s v="G12-MA-R5"/>
    <s v="PALF"/>
    <x v="1"/>
    <s v="Congo"/>
    <m/>
    <m/>
    <m/>
  </r>
  <r>
    <x v="111"/>
    <s v="Achat billet Zanaga - Sibiti/G12"/>
    <s v="Transport"/>
    <s v="Investigations"/>
    <n v="10000"/>
    <n v="17.15534819695575"/>
    <n v="579.64599999999996"/>
    <s v="G12"/>
    <s v="G12-MA-R6"/>
    <s v="PALF"/>
    <x v="1"/>
    <s v="Congo"/>
    <m/>
    <m/>
    <m/>
  </r>
  <r>
    <x v="111"/>
    <s v="Achat bilet Sibiti - Loudima/G12"/>
    <s v="Transport"/>
    <s v="Investigations"/>
    <n v="4000"/>
    <n v="6.8621392787823003"/>
    <n v="579.64599999999996"/>
    <s v="G12"/>
    <s v="G12-MA-R7"/>
    <s v="PALF"/>
    <x v="1"/>
    <s v="Congo"/>
    <m/>
    <m/>
    <m/>
  </r>
  <r>
    <x v="112"/>
    <s v="Paiement Honoraire Me LOCKO/Mois d'Avril 2025/3654856"/>
    <s v="Lawyer Fees"/>
    <s v="Legal"/>
    <n v="150000"/>
    <n v="257.33022295433625"/>
    <n v="579.64599999999996"/>
    <s v="BCI"/>
    <s v="BQ-MA-R14"/>
    <s v="PALF"/>
    <x v="1"/>
    <s v="Congo"/>
    <m/>
    <m/>
    <m/>
  </r>
  <r>
    <x v="112"/>
    <s v="Achat billet dolisie-Brazzaville/P29"/>
    <s v="Transport"/>
    <s v="Investigations"/>
    <n v="10000"/>
    <n v="17.15534819695575"/>
    <n v="579.64599999999996"/>
    <s v="P29"/>
    <s v="P29-MA-R6"/>
    <s v="PALF"/>
    <x v="1"/>
    <s v="Congo"/>
    <m/>
    <m/>
    <m/>
  </r>
  <r>
    <x v="112"/>
    <s v="Frais de transfert d'argent à Donald-Roméo ,Me Alain et  Romain"/>
    <s v="Transfer Fees"/>
    <s v="Office"/>
    <n v="3270"/>
    <n v="5.6097988604045304"/>
    <n v="579.64599999999996"/>
    <s v="Roderlin"/>
    <s v="CA-MA-R6"/>
    <s v="PALF"/>
    <x v="1"/>
    <s v="Congo"/>
    <m/>
    <m/>
    <m/>
  </r>
  <r>
    <x v="112"/>
    <s v="Réglement facture électricité periode Mars-Avril 2025/bureau PALF"/>
    <s v="Rent &amp; Utilities"/>
    <s v="Office"/>
    <n v="68737"/>
    <n v="117.92071690141474"/>
    <n v="579.64599999999996"/>
    <s v="Roderlin"/>
    <s v="CA-MA-R7"/>
    <s v="PALF"/>
    <x v="1"/>
    <s v="Congo"/>
    <m/>
    <m/>
    <m/>
  </r>
  <r>
    <x v="112"/>
    <s v="Achat billet Dolisie-Brazzaville/Donald-Roméo"/>
    <s v="Transport "/>
    <s v="Legal"/>
    <n v="10000"/>
    <n v="17.15534819695575"/>
    <n v="579.64599999999996"/>
    <s v="Donald-Romeo"/>
    <s v="DR-MA-R2"/>
    <s v="PALF"/>
    <x v="1"/>
    <s v="Congo"/>
    <m/>
    <m/>
    <m/>
  </r>
  <r>
    <x v="112"/>
    <s v="Frais d'expédition"/>
    <s v="Court fees"/>
    <s v="Legal"/>
    <n v="20000"/>
    <n v="34.310696393911499"/>
    <n v="579.64599999999996"/>
    <s v="Romain"/>
    <s v="RM-MA-R2"/>
    <s v="PALF"/>
    <x v="1"/>
    <s v="Congo"/>
    <m/>
    <m/>
    <m/>
  </r>
  <r>
    <x v="112"/>
    <s v="Achat billet  Dolisie-Brazzaville/ Romain"/>
    <s v="Transport"/>
    <s v="Legal"/>
    <n v="10000"/>
    <n v="17.15534819695575"/>
    <n v="579.64599999999996"/>
    <s v="Romain"/>
    <s v="RM-MA-R3"/>
    <s v="PALF"/>
    <x v="1"/>
    <s v="Congo"/>
    <m/>
    <m/>
    <m/>
  </r>
  <r>
    <x v="113"/>
    <s v="P29 -CONGO Frais d'hotel du 08 au 10/05/2025 à Dolisie"/>
    <s v="Travel Subsistence"/>
    <s v="Investigations"/>
    <n v="30000"/>
    <n v="51.466044590867249"/>
    <n v="579.64599999999996"/>
    <s v="P29"/>
    <s v="P29-MA-R7"/>
    <s v="PALF"/>
    <x v="1"/>
    <s v="Congo"/>
    <m/>
    <m/>
    <m/>
  </r>
  <r>
    <x v="113"/>
    <s v="T73 - CONGO Frais d'hotel du 06 au 08/05/2025 à Pounga (02 Nuitées)"/>
    <s v="Travel Subsistence"/>
    <s v="Investigations"/>
    <n v="30000"/>
    <n v="51.466044590867249"/>
    <n v="579.64599999999996"/>
    <s v="T73"/>
    <s v="T73-MA-R6"/>
    <s v="PALF"/>
    <x v="1"/>
    <s v="Congo"/>
    <m/>
    <m/>
    <m/>
  </r>
  <r>
    <x v="113"/>
    <s v="Achat billet  Pounga - Brazzaville/T73"/>
    <s v="Transport"/>
    <s v="Investigations"/>
    <n v="12000"/>
    <n v="20.5864178363469"/>
    <n v="579.64599999999996"/>
    <s v="T73"/>
    <s v="T73-MA-R7"/>
    <s v="PALF"/>
    <x v="1"/>
    <s v="Congo"/>
    <m/>
    <m/>
    <m/>
  </r>
  <r>
    <x v="113"/>
    <s v="G12-CONGO Frais d'hotel du 08 au 10 /05/2025 à Loudima (02 Nuitées)"/>
    <s v="Travel Subsistence"/>
    <s v="Investigations"/>
    <n v="30000"/>
    <n v="51.466044590867249"/>
    <n v="579.64599999999996"/>
    <s v="G12"/>
    <s v="G12-MA-R8"/>
    <s v="PALF"/>
    <x v="1"/>
    <s v="Congo"/>
    <m/>
    <m/>
    <m/>
  </r>
  <r>
    <x v="113"/>
    <s v="Achat billet Loudima - Brazzaville/G12"/>
    <s v="Transport"/>
    <s v="Investigations"/>
    <n v="7000"/>
    <n v="12.008743737869025"/>
    <n v="579.64599999999996"/>
    <s v="G12"/>
    <s v="G12-MA-R9"/>
    <s v="PALF"/>
    <x v="1"/>
    <s v="Congo"/>
    <m/>
    <m/>
    <m/>
  </r>
  <r>
    <x v="113"/>
    <s v="DONALD-ROMEO/CONGO Frais d'hôtel du 07 au 10/05/2025 à Dolisie (03 Nuitées)"/>
    <s v="Travel Subsistence"/>
    <s v="Legal"/>
    <n v="45000"/>
    <n v="77.199066886300869"/>
    <n v="579.64599999999996"/>
    <s v="Donald-Romeo"/>
    <s v="DR-MA-R3"/>
    <s v="PALF"/>
    <x v="1"/>
    <s v="Congo"/>
    <m/>
    <m/>
    <m/>
  </r>
  <r>
    <x v="113"/>
    <s v="ROMAIN-CONGO Frais d'Hotel du 07 au 10/05/2025 à Dolisie (03nuitées)"/>
    <s v="Travel Subsistence"/>
    <s v="Legal"/>
    <n v="45000"/>
    <n v="77.199066886300869"/>
    <n v="579.64599999999996"/>
    <s v="Romain"/>
    <s v="RM-MA-R4"/>
    <s v="PALF"/>
    <x v="1"/>
    <s v="Congo"/>
    <m/>
    <m/>
    <m/>
  </r>
  <r>
    <x v="114"/>
    <s v="Entretien palmier bureau PALF"/>
    <s v="Services"/>
    <s v="Office"/>
    <n v="25000"/>
    <n v="42.888370492389377"/>
    <n v="579.64599999999996"/>
    <s v="DOVI"/>
    <s v="CA-MA-R9"/>
    <s v="PALF"/>
    <x v="1"/>
    <s v="Congo"/>
    <m/>
    <m/>
    <m/>
  </r>
  <r>
    <x v="114"/>
    <s v="Achat eau mineral 16 LITRES/Bureau"/>
    <s v="Office Materials"/>
    <s v="Office"/>
    <n v="25000"/>
    <n v="42.888370492389377"/>
    <n v="579.64599999999996"/>
    <s v="Abraham"/>
    <s v="CA-MA-R8"/>
    <s v="PALF"/>
    <x v="1"/>
    <s v="Congo"/>
    <m/>
    <m/>
    <m/>
  </r>
  <r>
    <x v="115"/>
    <s v="Reglement loyer du mois de Mars 2025/3654865"/>
    <s v="Lawyer Fees"/>
    <s v="Legal"/>
    <n v="500000"/>
    <n v="857.76740984778746"/>
    <n v="579.64599999999996"/>
    <s v="BCI"/>
    <s v="BQ-MA-R12"/>
    <s v="PALF"/>
    <x v="1"/>
    <s v="Congo"/>
    <m/>
    <m/>
    <m/>
  </r>
  <r>
    <x v="116"/>
    <s v="Achat billet Brazzaville- Impfondo/P29"/>
    <s v="Transport"/>
    <s v="Investigations"/>
    <n v="33000"/>
    <n v="56.612649049953973"/>
    <n v="579.64599999999996"/>
    <s v="P29"/>
    <s v="P29-MA-R8"/>
    <s v="PALF"/>
    <x v="1"/>
    <s v="Congo"/>
    <m/>
    <m/>
    <m/>
  </r>
  <r>
    <x v="116"/>
    <s v="Achat billet  Brazzaville - Impfondo/T73"/>
    <s v="Transport"/>
    <s v="Investigations"/>
    <n v="33000"/>
    <n v="56.612649049953973"/>
    <n v="579.64599999999996"/>
    <s v="T73"/>
    <s v="T73-MA-R8"/>
    <s v="PALF"/>
    <x v="1"/>
    <s v="Congo"/>
    <m/>
    <m/>
    <m/>
  </r>
  <r>
    <x v="116"/>
    <s v="Achat billet  Brazzaville - Ouesso/G12"/>
    <s v="Transport"/>
    <s v="Investigations"/>
    <n v="10000"/>
    <n v="17.15534819695575"/>
    <n v="579.64599999999996"/>
    <s v="G12"/>
    <s v="G12-MA-R10"/>
    <s v="PALF"/>
    <x v="1"/>
    <s v="Congo"/>
    <m/>
    <m/>
    <m/>
  </r>
  <r>
    <x v="116"/>
    <s v="Achat billet Brazzaville-Impfondo/ Crepin"/>
    <s v="Transport"/>
    <s v="Legal"/>
    <n v="33000"/>
    <n v="56.612649049953973"/>
    <n v="579.64599999999996"/>
    <s v="Crépin"/>
    <s v="CR-MA-R1"/>
    <s v="PALF"/>
    <x v="1"/>
    <s v="Congo"/>
    <m/>
    <m/>
    <m/>
  </r>
  <r>
    <x v="116"/>
    <s v="Achat billet Brazzaville-Impfondo/Donald-Roméo"/>
    <s v="Transport "/>
    <s v="Legal"/>
    <n v="33000"/>
    <n v="56.612649049953973"/>
    <n v="579.64599999999996"/>
    <s v="Donald-Romeo"/>
    <s v="DR-MA-R4"/>
    <s v="PALF"/>
    <x v="1"/>
    <s v="Congo"/>
    <m/>
    <m/>
    <m/>
  </r>
  <r>
    <x v="116"/>
    <s v="RAPATRIEME01100 RAO00010812"/>
    <s v="Grant"/>
    <m/>
    <m/>
    <m/>
    <n v="560.94248000000005"/>
    <s v="BCI"/>
    <s v="BQ-MA-G1"/>
    <s v="PALF"/>
    <x v="5"/>
    <s v="Congo"/>
    <n v="14023562"/>
    <n v="25000"/>
    <m/>
  </r>
  <r>
    <x v="116"/>
    <s v="credit  teléphonique MTN/PALF/ Deuxième partie du mois de mai 2025/Management"/>
    <s v="Telephone"/>
    <s v="Legal"/>
    <n v="10000"/>
    <n v="17.15534819695575"/>
    <n v="579.64599999999996"/>
    <s v="DOVI"/>
    <s v="DH-MA-R3"/>
    <s v="PALF"/>
    <x v="1"/>
    <s v="Congo"/>
    <m/>
    <m/>
    <m/>
  </r>
  <r>
    <x v="116"/>
    <s v="CREPIN-CONGO Ration  du 15/05/ au 04/06/2025 à Ouesso et Impfondo"/>
    <s v="Travel Subsistence"/>
    <s v="Legal"/>
    <n v="200000"/>
    <n v="343.10696393911502"/>
    <n v="579.64599999999996"/>
    <s v="Crépin"/>
    <s v="CR-MA-D1"/>
    <s v="PALF"/>
    <x v="1"/>
    <s v="Congo"/>
    <m/>
    <m/>
    <m/>
  </r>
  <r>
    <x v="116"/>
    <s v="credit  teléphonique MTN/PALF/ Deuxième partie du mois de mai 2025/Legal"/>
    <s v="Telephone"/>
    <s v="Legal"/>
    <n v="5000"/>
    <n v="8.5776740984778748"/>
    <n v="579.64599999999996"/>
    <s v="Crépin"/>
    <s v="CR-MA-R14"/>
    <s v="PALF"/>
    <x v="1"/>
    <s v="Congo"/>
    <m/>
    <m/>
    <m/>
  </r>
  <r>
    <x v="116"/>
    <s v="credit  teléphonique Airtel/PALF/Deuxième  partie du mois de Mail 2025/Legal"/>
    <s v="Telephone"/>
    <s v="Legal"/>
    <n v="5000"/>
    <n v="8.5776740984778748"/>
    <n v="579.64599999999996"/>
    <s v="Crépin"/>
    <s v="CR-MA-R15"/>
    <s v="PALF"/>
    <x v="1"/>
    <s v="Congo"/>
    <m/>
    <m/>
    <m/>
  </r>
  <r>
    <x v="116"/>
    <s v="credit  teléphonique MTN/PALF/ Deuxième partie du mois de mai 2025/Office"/>
    <s v="Telephone"/>
    <s v="Legal"/>
    <n v="10000"/>
    <n v="17.15534819695575"/>
    <n v="579.64599999999996"/>
    <s v="Parfaite"/>
    <s v="P-MA-R2"/>
    <s v="PALF"/>
    <x v="1"/>
    <s v="Congo"/>
    <m/>
    <m/>
    <m/>
  </r>
  <r>
    <x v="116"/>
    <s v="P29 - CONGO Ration  du 15/05 au 05 /06/2025 à  (21 Nuitées)"/>
    <s v="Travel Subsistence"/>
    <s v="Investigations"/>
    <n v="210000"/>
    <n v="360.26231213607076"/>
    <n v="579.64599999999996"/>
    <s v="P29"/>
    <s v="P29-MA-D2"/>
    <s v="PALF"/>
    <x v="1"/>
    <s v="Congo"/>
    <m/>
    <m/>
    <m/>
  </r>
  <r>
    <x v="116"/>
    <s v="credit  teléphonique MTN/PALF/ Deuxième partie du mois de mai 2025/Investigation"/>
    <s v="Telephone"/>
    <s v="Investigations"/>
    <n v="10000"/>
    <n v="17.15534819695575"/>
    <n v="579.64599999999996"/>
    <s v="P29"/>
    <s v="P29-MA-R21"/>
    <s v="PALF"/>
    <x v="1"/>
    <s v="Congo"/>
    <m/>
    <m/>
    <m/>
  </r>
  <r>
    <x v="116"/>
    <s v="credit  teléphonique Airtel/PALF/Deuxième partie du mois de mai 2025/Investigation"/>
    <s v="Telephone"/>
    <s v="Investigations"/>
    <n v="5000"/>
    <n v="8.5776740984778748"/>
    <n v="579.64599999999996"/>
    <s v="P29"/>
    <s v="P29-MA-R22"/>
    <s v="PALF"/>
    <x v="1"/>
    <s v="Congo"/>
    <m/>
    <m/>
    <m/>
  </r>
  <r>
    <x v="116"/>
    <s v="T73-CONGO Ration du 15 au 05 /06/2025 à Impfondo"/>
    <s v="Travel Subsistence"/>
    <s v="Investigations"/>
    <n v="210000"/>
    <n v="360.26231213607076"/>
    <n v="579.64599999999996"/>
    <s v="T73"/>
    <s v="T73-MA-D2"/>
    <s v="PALF"/>
    <x v="1"/>
    <s v="Congo"/>
    <m/>
    <m/>
    <m/>
  </r>
  <r>
    <x v="116"/>
    <s v="T73 - CONGO Frais d'hotel du 15 au 16/05/2025 à Ouesso (01 Nuitée)"/>
    <s v="Travel Subsistence"/>
    <s v="Investigations"/>
    <n v="15000"/>
    <n v="25.733022295433624"/>
    <n v="579.64599999999996"/>
    <s v="T73"/>
    <s v="T73-MA-R9"/>
    <s v="PALF"/>
    <x v="1"/>
    <s v="Congo"/>
    <m/>
    <m/>
    <m/>
  </r>
  <r>
    <x v="116"/>
    <s v="credit  teléphonique MTN/PALF/ Deuxième partie du mois de mai 2025/Investigation"/>
    <s v="Telephone"/>
    <s v="Investigations"/>
    <n v="15000"/>
    <n v="25.733022295433624"/>
    <n v="579.64599999999996"/>
    <s v="T73"/>
    <s v="T73-MA-R18"/>
    <s v="PALF"/>
    <x v="1"/>
    <s v="Congo"/>
    <m/>
    <m/>
    <m/>
  </r>
  <r>
    <x v="116"/>
    <s v="G12-CONGO Rations du 15 au 23/05/2025 à Ouesso, Pokola "/>
    <s v="Travel Subsistence"/>
    <s v="Investigations"/>
    <n v="80000"/>
    <n v="137.242785575646"/>
    <n v="579.64599999999996"/>
    <s v="G12"/>
    <s v="G12-MA-D2"/>
    <s v="PALF"/>
    <x v="1"/>
    <s v="Congo"/>
    <m/>
    <m/>
    <m/>
  </r>
  <r>
    <x v="116"/>
    <s v="credit  teléphonique MTN/PALF/ Deuxième partie du mois de mai 2025/Investigation"/>
    <s v="Telephone"/>
    <s v="Investigations"/>
    <n v="5000"/>
    <n v="8.5776740984778748"/>
    <n v="579.64599999999996"/>
    <s v="G12"/>
    <s v="G12-MA-R20"/>
    <s v="PALF"/>
    <x v="1"/>
    <s v="Congo"/>
    <m/>
    <m/>
    <m/>
  </r>
  <r>
    <x v="116"/>
    <s v="credit  teléphonique Airtel/PALF/Deuxième partie du mois de mai 2025/Investigation"/>
    <s v="Telephone"/>
    <s v="Investigations"/>
    <n v="10000"/>
    <n v="17.15534819695575"/>
    <n v="579.64599999999996"/>
    <s v="G12"/>
    <s v="G12-MA-R21"/>
    <s v="PALF"/>
    <x v="1"/>
    <s v="Congo"/>
    <m/>
    <m/>
    <m/>
  </r>
  <r>
    <x v="116"/>
    <s v="credit  teléphonique MTN/PALF/ Deuxième partie du mois de mai 2025/Legal"/>
    <s v="Telephone"/>
    <s v="Legal"/>
    <n v="5000"/>
    <n v="8.5776740984778748"/>
    <n v="579.64599999999996"/>
    <s v="Abraham"/>
    <s v="AB-MA-R5"/>
    <s v="PALF"/>
    <x v="1"/>
    <s v="Congo"/>
    <m/>
    <m/>
    <m/>
  </r>
  <r>
    <x v="116"/>
    <s v="credit  teléphonique Airtel/PALF/Deuxième  partie du mois de Mail 2025/Legal"/>
    <s v="Telephone"/>
    <s v="Legal"/>
    <n v="5000"/>
    <n v="8.5776740984778748"/>
    <n v="579.64599999999996"/>
    <s v="Abraham"/>
    <s v="AB-MA-R6"/>
    <s v="PALF"/>
    <x v="1"/>
    <s v="Congo"/>
    <m/>
    <m/>
    <m/>
  </r>
  <r>
    <x v="116"/>
    <s v="credit  teléphonique MTN/PALF/ Deuxième partie du mois de mai 2025/Legal"/>
    <s v="Telephone"/>
    <s v="Legal"/>
    <n v="10000"/>
    <n v="17.15534819695575"/>
    <n v="579.64599999999996"/>
    <s v="Roderlin"/>
    <s v="RO-MA-R7"/>
    <s v="PALF"/>
    <x v="1"/>
    <s v="Congo"/>
    <m/>
    <m/>
    <m/>
  </r>
  <r>
    <x v="116"/>
    <s v="DONALD-ROMEO/CONGO Ration  du  15/05 au 04/06/2025 à Ouesso/ Impfondo"/>
    <s v="Travel Subsistence"/>
    <s v="Legal"/>
    <n v="200000"/>
    <n v="343.10696393911502"/>
    <n v="579.64599999999996"/>
    <s v="Donald-Romeo"/>
    <s v="DR-MA-D2"/>
    <s v="PALF"/>
    <x v="1"/>
    <s v="Congo"/>
    <m/>
    <m/>
    <m/>
  </r>
  <r>
    <x v="116"/>
    <s v="credit  teléphonique MTN/PALF/ Deuxième partie du mois de mai 2025/Legal"/>
    <s v="Telephone"/>
    <s v="Legal"/>
    <n v="10000"/>
    <n v="17.15534819695575"/>
    <n v="579.64599999999996"/>
    <s v="Donald-Romeo"/>
    <s v="DR-MA-R10"/>
    <s v="PALF"/>
    <x v="1"/>
    <s v="Congo"/>
    <m/>
    <m/>
    <m/>
  </r>
  <r>
    <x v="116"/>
    <s v="credit  teléphonique MTN/PALF/ Deuxième partie du mois de mai 2025/Legal"/>
    <s v="Telephone"/>
    <s v="Legal"/>
    <n v="10000"/>
    <n v="17.15534819695575"/>
    <n v="579.64599999999996"/>
    <s v="Romain"/>
    <s v="RM-MA-R9"/>
    <s v="PALF"/>
    <x v="1"/>
    <s v="Congo"/>
    <m/>
    <m/>
    <m/>
  </r>
  <r>
    <x v="117"/>
    <s v=" CREPIN-CONGO Frais d'hotel  à Ouesso du 15 au 16/05/2025 (01 Nuitée)"/>
    <s v="Travel Subsistence"/>
    <s v="Legal"/>
    <n v="15000"/>
    <n v="25.733022295433624"/>
    <n v="579.64599999999996"/>
    <s v="Crépin"/>
    <s v="CR-MA-R2"/>
    <s v="PALF"/>
    <x v="1"/>
    <s v="Congo"/>
    <m/>
    <m/>
    <m/>
  </r>
  <r>
    <x v="117"/>
    <s v="P29 -CONGO Frais d'hotel du 15 au 16/05/2025 à ouesso"/>
    <s v="Travel Subsistence"/>
    <s v="Investigations"/>
    <n v="15000"/>
    <n v="25.733022295433624"/>
    <n v="579.64599999999996"/>
    <s v="P29"/>
    <s v="P29-MA-R9"/>
    <s v="PALF"/>
    <x v="1"/>
    <s v="Congo"/>
    <m/>
    <m/>
    <m/>
  </r>
  <r>
    <x v="117"/>
    <s v="Frais d'hôtel/  01 Nuitée du 15 au 16/05/2025 à Ouesso (Hôtel  Divine)"/>
    <s v="Travel Subsistence"/>
    <s v="Legal"/>
    <n v="15000"/>
    <n v="25.733022295433624"/>
    <n v="579.64599999999996"/>
    <s v="Donald-Romeo"/>
    <s v="DR-MA-R5"/>
    <s v="PALF"/>
    <x v="1"/>
    <s v="Congo"/>
    <m/>
    <m/>
    <m/>
  </r>
  <r>
    <x v="118"/>
    <s v="T73 - CONGO Frais d'hotel du 17 au 20/05/2025  à Impfondo (03 nuitée)"/>
    <s v="Travel Subsistence"/>
    <s v="Investigations"/>
    <n v="45000"/>
    <n v="77.199066886300869"/>
    <n v="579.64599999999996"/>
    <s v="T73"/>
    <s v="T73-MA-R10"/>
    <s v="PALF"/>
    <x v="1"/>
    <s v="Congo"/>
    <m/>
    <m/>
    <m/>
  </r>
  <r>
    <x v="118"/>
    <s v="G12-CONGO Frais d'hôtel du 15 /05/2025 au 19/05/2025 à Ouesso (04 Nuitées)"/>
    <s v="Travel Subsistence"/>
    <s v="Investigations"/>
    <n v="60000"/>
    <n v="102.9320891817345"/>
    <n v="579.64599999999996"/>
    <s v="G12"/>
    <s v="G12-MA-R11"/>
    <s v="PALF"/>
    <x v="1"/>
    <s v="Congo"/>
    <m/>
    <m/>
    <m/>
  </r>
  <r>
    <x v="118"/>
    <s v="Achat billet  Ouesso - Pokola/ G12"/>
    <s v="Transport"/>
    <s v="Investigations"/>
    <n v="7000"/>
    <n v="12.008743737869025"/>
    <n v="579.64599999999996"/>
    <s v="G12"/>
    <s v="G12-MA-R12"/>
    <s v="PALF"/>
    <x v="1"/>
    <s v="Congo"/>
    <m/>
    <m/>
    <m/>
  </r>
  <r>
    <x v="118"/>
    <s v="Frais de tansfert d'argent à P29, T73, G12, Crépin et Donald roméo"/>
    <s v="Transfer Fees"/>
    <s v="Office"/>
    <n v="23970"/>
    <n v="41.121369628102933"/>
    <n v="579.64599999999996"/>
    <s v="Abraham"/>
    <s v="CA-MA-R10"/>
    <s v="PALF"/>
    <x v="1"/>
    <s v="Congo"/>
    <m/>
    <m/>
    <m/>
  </r>
  <r>
    <x v="118"/>
    <s v="Fabricarion de cachet numériquebureau PALF"/>
    <s v="Equipment"/>
    <s v="Office"/>
    <n v="42000"/>
    <n v="72.052462427214152"/>
    <n v="579.64599999999996"/>
    <s v="Romain"/>
    <s v="CA-MA-R11"/>
    <s v="PALF"/>
    <x v="1"/>
    <s v="Congo"/>
    <m/>
    <m/>
    <m/>
  </r>
  <r>
    <x v="119"/>
    <s v="Achat billet Impfondo-Epena/P29"/>
    <s v="Transport"/>
    <s v="Investigations"/>
    <n v="10000"/>
    <n v="17.15534819695575"/>
    <n v="579.64599999999996"/>
    <s v="P29"/>
    <s v="P29-MA-R10"/>
    <s v="PALF"/>
    <x v="1"/>
    <s v="Congo"/>
    <m/>
    <m/>
    <m/>
  </r>
  <r>
    <x v="119"/>
    <s v="Achat billet Epena-Impfondo/P29"/>
    <s v="Transport"/>
    <s v="Investigations"/>
    <n v="10000"/>
    <n v="17.15534819695575"/>
    <n v="579.64599999999996"/>
    <s v="P29"/>
    <s v="P29-MA-R11"/>
    <s v="PALF"/>
    <x v="1"/>
    <s v="Congo"/>
    <m/>
    <m/>
    <m/>
  </r>
  <r>
    <x v="119"/>
    <s v="Achat billet  Impfondo - Dangou/T73"/>
    <s v="Transport"/>
    <s v="Investigations"/>
    <n v="10000"/>
    <n v="17.15534819695575"/>
    <n v="579.64599999999996"/>
    <s v="T73"/>
    <s v="T73-MA-R11"/>
    <s v="PALF"/>
    <x v="1"/>
    <s v="Congo"/>
    <m/>
    <m/>
    <m/>
  </r>
  <r>
    <x v="119"/>
    <s v="Achat billet Brazzaville - Makoua/ IT87"/>
    <s v="Transport"/>
    <s v="Investigations"/>
    <n v="9000"/>
    <n v="15.439813377260174"/>
    <n v="579.64599999999996"/>
    <s v="IT87"/>
    <s v="IT87-MA-R1"/>
    <s v="PALF"/>
    <x v="1"/>
    <s v="Congo"/>
    <m/>
    <m/>
    <m/>
  </r>
  <r>
    <x v="119"/>
    <s v="credit  teléphonique du mois de Mai 2025/Investigation"/>
    <s v="Telephone"/>
    <s v="Investigations"/>
    <n v="10000"/>
    <n v="17.827139780891613"/>
    <n v="579.64599999999996"/>
    <s v="IT87"/>
    <s v="IT87-MA-R10"/>
    <s v="PALF"/>
    <x v="1"/>
    <s v="Congo"/>
    <m/>
    <m/>
    <m/>
  </r>
  <r>
    <x v="119"/>
    <s v="Achat billet Brazzaville-Dolisie/Abraham"/>
    <s v="Transport"/>
    <s v="Legal"/>
    <n v="10000"/>
    <n v="17.827139780891613"/>
    <n v="579.64599999999996"/>
    <s v="Abraham"/>
    <s v="AB-MA-R1"/>
    <s v="PALF"/>
    <x v="1"/>
    <s v="Congo"/>
    <m/>
    <m/>
    <m/>
  </r>
  <r>
    <x v="119"/>
    <s v="Frais de transport mission Maitre Alain à Dolisie du 21 au 23/05/2025"/>
    <s v="Transport"/>
    <s v="Legal"/>
    <n v="29000"/>
    <n v="51.698705364585685"/>
    <n v="579.64599999999996"/>
    <s v="Abraham"/>
    <s v="CA-MA-R12"/>
    <s v="PALF"/>
    <x v="1"/>
    <s v="Congo"/>
    <m/>
    <m/>
    <m/>
  </r>
  <r>
    <x v="119"/>
    <s v="Ration et frais d'hotel mission maitre Alain à Dolisie du 21 au 23/05/2025"/>
    <s v="Travel Subsistence"/>
    <s v="Legal"/>
    <n v="50000"/>
    <n v="89.135698904458081"/>
    <n v="579.64599999999996"/>
    <s v="Abraham"/>
    <s v="CA-MA-R13"/>
    <s v="PALF"/>
    <x v="1"/>
    <s v="Congo"/>
    <m/>
    <m/>
    <m/>
  </r>
  <r>
    <x v="119"/>
    <s v="Achat billet Brazzaville-Loudima/ Roderlin"/>
    <s v="Transport"/>
    <s v="Legal"/>
    <n v="8000"/>
    <n v="14.261711824713291"/>
    <n v="579.64599999999996"/>
    <s v="Roderlin"/>
    <s v="RO-MA-R1"/>
    <s v="PALF"/>
    <x v="1"/>
    <s v="Congo"/>
    <m/>
    <m/>
    <m/>
  </r>
  <r>
    <x v="119"/>
    <s v="Bonus du mois d'Avril 2025/Evariste"/>
    <s v="Personnel"/>
    <s v="Media"/>
    <n v="30000"/>
    <n v="53.481419342674847"/>
    <n v="560.94248000000005"/>
    <s v="Evariste"/>
    <s v="CA-MA-D8"/>
    <s v="PALF"/>
    <x v="5"/>
    <s v="Congo"/>
    <m/>
    <m/>
    <m/>
  </r>
  <r>
    <x v="119"/>
    <s v="credit  teléphonique  du mois de mai 2025/Media"/>
    <s v="Telephone"/>
    <s v="Media"/>
    <n v="10000"/>
    <n v="17.827139780891613"/>
    <n v="579.64599999999996"/>
    <s v="Evariste"/>
    <s v="EV-MA-R5"/>
    <s v="PALF"/>
    <x v="1"/>
    <s v="Congo"/>
    <m/>
    <m/>
    <m/>
  </r>
  <r>
    <x v="119"/>
    <s v="Achat billet Brazzaville-Owando/ Romain"/>
    <s v="Transport"/>
    <s v="Legal"/>
    <n v="7000"/>
    <n v="12.47899784662413"/>
    <n v="579.64599999999996"/>
    <s v="Romain"/>
    <s v="RM-MA-R5"/>
    <s v="PALF"/>
    <x v="1"/>
    <s v="Congo"/>
    <m/>
    <m/>
    <m/>
  </r>
  <r>
    <x v="120"/>
    <s v="Achat de 04 power Bank 20000mAh"/>
    <s v="Equipment"/>
    <s v="Office"/>
    <n v="80000"/>
    <n v="142.61711824713291"/>
    <n v="579.64599999999996"/>
    <s v="Parfaite"/>
    <s v="CA-MA-R14"/>
    <s v="PALF"/>
    <x v="1"/>
    <s v="Congo"/>
    <m/>
    <m/>
    <m/>
  </r>
  <r>
    <x v="120"/>
    <s v="Cumul frais de trust building du mois de Mai 2025/T73"/>
    <s v="Trust Building"/>
    <s v="Investigations"/>
    <n v="23000"/>
    <n v="41.002421496050715"/>
    <n v="579.64599999999996"/>
    <s v="T73"/>
    <s v="T73-MA-D3"/>
    <s v="PALF"/>
    <x v="1"/>
    <s v="Congo"/>
    <m/>
    <m/>
    <m/>
  </r>
  <r>
    <x v="120"/>
    <s v="IT87-CONGO Ration du 21 au 29/05/2025 à Makoua, kelle, Etoumbi"/>
    <s v="Travel Subsistence"/>
    <s v="Investigations"/>
    <n v="80000"/>
    <n v="142.61711824713291"/>
    <n v="579.64599999999996"/>
    <s v="IT87"/>
    <s v="IT87-MA-D1"/>
    <s v="PALF"/>
    <x v="1"/>
    <s v="Congo"/>
    <m/>
    <m/>
    <m/>
  </r>
  <r>
    <x v="120"/>
    <s v="G12-CONGO Frais d'hôtel du 19/05/2025 au 21/05/2025 à Pokola (02 Nuitées)"/>
    <s v="Travel Subsistence"/>
    <s v="Investigations"/>
    <n v="30000"/>
    <n v="53.481419342674847"/>
    <n v="579.64599999999996"/>
    <s v="G12"/>
    <s v="G12-MA-R13"/>
    <s v="PALF"/>
    <x v="1"/>
    <s v="Congo"/>
    <m/>
    <m/>
    <m/>
  </r>
  <r>
    <x v="120"/>
    <s v="Achat billet   Pokola - Ouesso/G12"/>
    <s v="Transport"/>
    <s v="Investigations"/>
    <n v="7000"/>
    <n v="12.47899784662413"/>
    <n v="579.64599999999996"/>
    <s v="G12"/>
    <s v="G12-MA-R14"/>
    <s v="PALF"/>
    <x v="1"/>
    <s v="Congo"/>
    <m/>
    <m/>
    <m/>
  </r>
  <r>
    <x v="120"/>
    <s v="ABRAHAM - CONGO Ration du 21 au 23/05/2025 à Dolisie (02 Nuitées)"/>
    <s v="Travel Subsistence"/>
    <s v="Legal"/>
    <n v="20000"/>
    <n v="35.654279561783227"/>
    <n v="579.64599999999996"/>
    <s v="Abraham"/>
    <s v="AB-MA-D1"/>
    <s v="PALF"/>
    <x v="1"/>
    <s v="Congo"/>
    <m/>
    <m/>
    <m/>
  </r>
  <r>
    <x v="120"/>
    <s v="Achat billet Loudima-Sibiti/ Roderlin"/>
    <s v="Transport"/>
    <s v="Legal"/>
    <n v="4000"/>
    <n v="7.1308559123566457"/>
    <n v="579.64599999999996"/>
    <s v="Roderlin"/>
    <s v="RO-MA-R2"/>
    <s v="PALF"/>
    <x v="1"/>
    <s v="Congo"/>
    <m/>
    <m/>
    <m/>
  </r>
  <r>
    <x v="120"/>
    <s v="RODERLIN-CONGO Ration du 21 au 23/05/2025 à Sibiti (02 nuitées)"/>
    <s v="Travel Subsistence"/>
    <s v="Legal"/>
    <n v="20000"/>
    <n v="35.654279561783227"/>
    <n v="579.64599999999996"/>
    <s v="Roderlin"/>
    <s v="RO-MA-D1"/>
    <s v="PALF"/>
    <x v="1"/>
    <s v="Congo"/>
    <m/>
    <m/>
    <m/>
  </r>
  <r>
    <x v="120"/>
    <s v="Achat Billet Brazzaville-Impfondo/ Evariste"/>
    <s v="Transport"/>
    <s v="Media"/>
    <n v="33000"/>
    <n v="58.829561276942329"/>
    <n v="579.64599999999996"/>
    <s v="Evariste"/>
    <s v="EV-MA-R1"/>
    <s v="PALF"/>
    <x v="1"/>
    <s v="Congo"/>
    <m/>
    <m/>
    <m/>
  </r>
  <r>
    <x v="120"/>
    <s v="ROMAIN-CONGO  Ration du 21 au 23/05/2025 à Owando"/>
    <s v="Travel Subsistence"/>
    <s v="Legal"/>
    <n v="20000"/>
    <n v="35.654279561783227"/>
    <n v="579.64599999999996"/>
    <s v="Romain"/>
    <s v="RM-MA-D2"/>
    <s v="PALF"/>
    <x v="1"/>
    <s v="Congo"/>
    <m/>
    <m/>
    <m/>
  </r>
  <r>
    <x v="121"/>
    <s v="T73 - CONGO Frais d'hotel du 20 au 22/05/2025 à Dangou (02 Nuitées)"/>
    <s v="Travel Subsistence"/>
    <s v="Investigations"/>
    <n v="30000"/>
    <n v="53.481419342674847"/>
    <n v="579.64599999999996"/>
    <s v="T73"/>
    <s v="T73-MA-R12"/>
    <s v="PALF"/>
    <x v="1"/>
    <s v="Congo"/>
    <m/>
    <m/>
    <m/>
  </r>
  <r>
    <x v="121"/>
    <s v="Reglement frais de réparation d'ordunateur"/>
    <s v="Services"/>
    <s v="Office"/>
    <n v="10000"/>
    <n v="17.827139780891613"/>
    <n v="579.64599999999996"/>
    <s v="Parfaite"/>
    <s v="CA-MA-R15"/>
    <s v="PALF"/>
    <x v="1"/>
    <s v="Congo"/>
    <m/>
    <m/>
    <m/>
  </r>
  <r>
    <x v="121"/>
    <s v="Achat billet Dangou - impfondo/T73"/>
    <s v="Transport"/>
    <s v="Investigations"/>
    <n v="10000"/>
    <n v="17.827139780891613"/>
    <n v="579.64599999999996"/>
    <s v="T73"/>
    <s v="T73-MA-R13"/>
    <s v="PALF"/>
    <x v="1"/>
    <s v="Congo"/>
    <m/>
    <m/>
    <m/>
  </r>
  <r>
    <x v="121"/>
    <s v="IT87-CONGO Frais d'hôtel du 21 au 22/05/2025 à Makoua (01 nuitée)"/>
    <s v="Travel Subsistence"/>
    <s v="Investigations"/>
    <n v="15000"/>
    <n v="26.740709671337424"/>
    <n v="579.64599999999996"/>
    <s v="IT87"/>
    <s v="IT87-MA-R2"/>
    <s v="PALF"/>
    <x v="1"/>
    <s v="Congo"/>
    <m/>
    <m/>
    <m/>
  </r>
  <r>
    <x v="121"/>
    <s v="Achat billet Makoua - Kelle/ IT87"/>
    <s v="Transport"/>
    <s v="Investigations"/>
    <n v="8000"/>
    <n v="14.261711824713291"/>
    <n v="579.64599999999996"/>
    <s v="IT87"/>
    <s v="IT87-MA-R3"/>
    <s v="PALF"/>
    <x v="1"/>
    <s v="Congo"/>
    <m/>
    <m/>
    <m/>
  </r>
  <r>
    <x v="121"/>
    <s v="Achat billet  Ouesso - Mokeko/G12"/>
    <s v="Transport"/>
    <s v="Investigations"/>
    <n v="3000"/>
    <n v="5.3481419342674847"/>
    <n v="579.64599999999996"/>
    <s v="G12"/>
    <s v="G12-MA-R15"/>
    <s v="PALF"/>
    <x v="1"/>
    <s v="Congo"/>
    <m/>
    <m/>
    <m/>
  </r>
  <r>
    <x v="121"/>
    <s v="achat billet  Mokeko - Ouesso/G12"/>
    <s v="Transport"/>
    <s v="Investigations"/>
    <n v="3000"/>
    <n v="5.3481419342674847"/>
    <n v="579.64599999999996"/>
    <s v="G12"/>
    <s v="G12-MA-R16"/>
    <s v="PALF"/>
    <x v="1"/>
    <s v="Congo"/>
    <m/>
    <m/>
    <m/>
  </r>
  <r>
    <x v="121"/>
    <s v="Achat billet Ouesso - Brazzaville/G12"/>
    <s v="Transport"/>
    <s v="Investigations"/>
    <n v="10000"/>
    <n v="17.827139780891613"/>
    <n v="579.64599999999996"/>
    <s v="G12"/>
    <s v="G12-MA-R17"/>
    <s v="PALF"/>
    <x v="1"/>
    <s v="Congo"/>
    <m/>
    <m/>
    <m/>
  </r>
  <r>
    <x v="121"/>
    <s v="Cumul frais de Jail visits du mois de Mai 2025/ Abraham"/>
    <s v="Jail visit"/>
    <s v="Legal"/>
    <n v="27000"/>
    <n v="48.133277408407359"/>
    <n v="579.64599999999996"/>
    <s v="Abraham"/>
    <s v="AB-MA-D2"/>
    <s v="PALF"/>
    <x v="1"/>
    <s v="Congo"/>
    <m/>
    <m/>
    <m/>
  </r>
  <r>
    <x v="121"/>
    <s v="Cumul Frais de Jail visits du mois de Mai 2025/Roderlin"/>
    <s v="Jail visit"/>
    <s v="Legal"/>
    <n v="9000"/>
    <n v="16.044425802802454"/>
    <n v="579.64599999999996"/>
    <s v="Roderlin"/>
    <s v="RO-MA-D2"/>
    <s v="PALF"/>
    <x v="1"/>
    <s v="Congo"/>
    <m/>
    <m/>
    <m/>
  </r>
  <r>
    <x v="121"/>
    <s v="EVARISTE-CONGO Ration du 22 mai au 04 juin 2025 à d'Impfondo ( 13 nuitées )"/>
    <s v="Travel Subsistence"/>
    <s v="Media"/>
    <n v="130000"/>
    <n v="231.75281715159099"/>
    <n v="579.64599999999996"/>
    <s v="Evariste"/>
    <s v="EV-MA-D1"/>
    <s v="PALF"/>
    <x v="1"/>
    <s v="Congo"/>
    <m/>
    <m/>
    <m/>
  </r>
  <r>
    <x v="121"/>
    <s v="Achat billet  Owando-Brazzaville/ Romain"/>
    <s v="Transport"/>
    <s v="Legal"/>
    <n v="7000"/>
    <n v="12.47899784662413"/>
    <n v="579.64599999999996"/>
    <s v="Romain"/>
    <s v="RM-MA-R6"/>
    <s v="PALF"/>
    <x v="1"/>
    <s v="Congo"/>
    <m/>
    <m/>
    <m/>
  </r>
  <r>
    <x v="121"/>
    <s v="cumul frais de Jail visits du mois de Mai 2025/Romain"/>
    <s v="Jail visit"/>
    <s v="Legal"/>
    <n v="43500"/>
    <n v="77.548058046878523"/>
    <n v="579.64599999999996"/>
    <s v="Romain"/>
    <s v="RM-MA-D3"/>
    <s v="PALF"/>
    <x v="1"/>
    <s v="Congo"/>
    <m/>
    <m/>
    <m/>
  </r>
  <r>
    <x v="122"/>
    <s v="Achat billet Dolisie-Brazzaville /Abraham"/>
    <s v="Transport"/>
    <s v="Legal"/>
    <n v="10000"/>
    <n v="17.827139780891613"/>
    <n v="579.64599999999996"/>
    <s v="Abraham"/>
    <s v="AB-MA-R2"/>
    <s v="PALF"/>
    <x v="1"/>
    <s v="Congo"/>
    <m/>
    <m/>
    <m/>
  </r>
  <r>
    <x v="122"/>
    <s v="Frais de tansfert d'argent à P29, T73, G12, Crépin et Donald roméo"/>
    <s v="Transfer Fees"/>
    <s v="Office"/>
    <n v="42960"/>
    <n v="76.585392498710377"/>
    <n v="579.64599999999996"/>
    <s v="Parfaite"/>
    <s v="CA-MA-R16"/>
    <s v="PALF"/>
    <x v="1"/>
    <s v="Congo"/>
    <m/>
    <m/>
    <m/>
  </r>
  <r>
    <x v="122"/>
    <s v="Frais de tansfert d'argent à IT87"/>
    <s v="Transfer Fees"/>
    <s v="Office"/>
    <n v="4750"/>
    <n v="8.4678913959235178"/>
    <n v="579.64599999999996"/>
    <s v="Parfaite"/>
    <s v="CA-MA-R17"/>
    <s v="PALF"/>
    <x v="1"/>
    <s v="Congo"/>
    <m/>
    <m/>
    <m/>
  </r>
  <r>
    <x v="122"/>
    <s v="Achat billet Impfondo-Epena/P29"/>
    <s v="Transport"/>
    <s v="Investigations"/>
    <n v="10000"/>
    <n v="17.827139780891613"/>
    <n v="579.64599999999996"/>
    <s v="P29"/>
    <s v="P29-MA-R12"/>
    <s v="PALF"/>
    <x v="1"/>
    <s v="Congo"/>
    <m/>
    <m/>
    <m/>
  </r>
  <r>
    <x v="122"/>
    <s v="Achat billet Epena-Impfondo/P29"/>
    <s v="Transport"/>
    <s v="Investigations"/>
    <n v="10000"/>
    <n v="17.827139780891613"/>
    <n v="579.64599999999996"/>
    <s v="P29"/>
    <s v="P29-MA-R13"/>
    <s v="PALF"/>
    <x v="1"/>
    <s v="Congo"/>
    <m/>
    <m/>
    <m/>
  </r>
  <r>
    <x v="122"/>
    <s v="Achat billet Impfondo - Epena/T73"/>
    <s v="Transport"/>
    <s v="Investigations"/>
    <n v="10000"/>
    <n v="17.827139780891613"/>
    <n v="579.64599999999996"/>
    <s v="T73"/>
    <s v="T73-MA-R14"/>
    <s v="PALF"/>
    <x v="1"/>
    <s v="Congo"/>
    <m/>
    <m/>
    <m/>
  </r>
  <r>
    <x v="122"/>
    <s v="Achat billet Epena - Impfondo/T73"/>
    <s v="Transport"/>
    <s v="Investigations"/>
    <n v="10000"/>
    <n v="17.827139780891613"/>
    <n v="579.64599999999996"/>
    <s v="T73"/>
    <s v="T73-MA-R15"/>
    <s v="PALF"/>
    <x v="1"/>
    <s v="Congo"/>
    <m/>
    <m/>
    <m/>
  </r>
  <r>
    <x v="122"/>
    <s v="G12-CONGO Frais d'hôtel du 21 /05/2025 au 23/05/2025 à Ouesso (02 Nuitées)"/>
    <s v="Travel Subsistence"/>
    <s v="Investigations"/>
    <n v="30000"/>
    <n v="53.481419342674847"/>
    <n v="579.64599999999996"/>
    <s v="G12"/>
    <s v="G12-MA-R18"/>
    <s v="PALF"/>
    <x v="1"/>
    <s v="Congo"/>
    <m/>
    <m/>
    <m/>
  </r>
  <r>
    <x v="122"/>
    <s v="ABRAHAM - CONGO frais d'Hôtel  du 21 au 23/05/2025 à Dolisie (02 Nuitées)"/>
    <s v="Travel Subsistence"/>
    <s v="Legal"/>
    <n v="30000"/>
    <n v="53.481419342674847"/>
    <n v="579.64599999999996"/>
    <s v="Abraham"/>
    <s v="AB-MA-R3"/>
    <s v="PALF"/>
    <x v="1"/>
    <s v="Congo"/>
    <m/>
    <m/>
    <m/>
  </r>
  <r>
    <x v="122"/>
    <s v="RODERLIN-CONGO frais d'hôtel du 21 au 23/05/2025 à Sibiti (02 nuitées)"/>
    <s v="Travel Subsistence"/>
    <s v="Legal"/>
    <n v="30000"/>
    <n v="53.481419342674847"/>
    <n v="579.64599999999996"/>
    <s v="Roderlin"/>
    <s v="RO-MA-R3"/>
    <s v="PALF"/>
    <x v="1"/>
    <s v="Congo"/>
    <m/>
    <m/>
    <m/>
  </r>
  <r>
    <x v="122"/>
    <s v="Achat billet Sibiti-Nkayi/ Roderlin"/>
    <s v="Transport"/>
    <s v="Legal"/>
    <n v="5000"/>
    <n v="8.9135698904458067"/>
    <n v="579.64599999999996"/>
    <s v="Roderlin"/>
    <s v="RO-MA-R4"/>
    <s v="PALF"/>
    <x v="1"/>
    <s v="Congo"/>
    <m/>
    <m/>
    <m/>
  </r>
  <r>
    <x v="122"/>
    <s v="Achat billet Nkayi-Brazzaville/ Roderlin"/>
    <s v="Transport"/>
    <s v="Legal"/>
    <n v="7000"/>
    <n v="12.47899784662413"/>
    <n v="579.64599999999996"/>
    <s v="Roderlin"/>
    <s v="RO-MA-R5"/>
    <s v="PALF"/>
    <x v="1"/>
    <s v="Congo"/>
    <m/>
    <m/>
    <m/>
  </r>
  <r>
    <x v="122"/>
    <s v="EVARISTE-CONGO Frais de l'hôtel à Ouesso du 22 au 23 mai 2025 (Une nuitée)"/>
    <s v="Travel Subsistence"/>
    <s v="Media"/>
    <n v="15000"/>
    <n v="26.740709671337424"/>
    <n v="579.64599999999996"/>
    <s v="Evariste"/>
    <s v="EV-MA-R2"/>
    <s v="PALF"/>
    <x v="1"/>
    <s v="Congo"/>
    <m/>
    <m/>
    <m/>
  </r>
  <r>
    <x v="122"/>
    <s v="ROMAIN-CONGO Frais d'hotel du 21 au 23 Mai 2025 à Owando (02 Nuitées)"/>
    <s v="Travel Subsistence"/>
    <s v="Legal"/>
    <n v="30000"/>
    <n v="53.481419342674847"/>
    <n v="579.64599999999996"/>
    <s v="Romain"/>
    <s v="RM-MA-R7"/>
    <s v="PALF"/>
    <x v="1"/>
    <s v="Congo"/>
    <m/>
    <m/>
    <m/>
  </r>
  <r>
    <x v="123"/>
    <s v="EVARISTE-CONGO Frais  d'hôtel  du 23 au 24 mai 2025 à Enyellé (Une nuitée) "/>
    <s v="Travel Subsistence"/>
    <s v="Media"/>
    <n v="15000"/>
    <n v="26.740709671337424"/>
    <n v="579.64599999999996"/>
    <s v="Evariste"/>
    <s v="EV-MA-R3"/>
    <s v="PALF"/>
    <x v="1"/>
    <s v="Congo"/>
    <m/>
    <m/>
    <m/>
  </r>
  <r>
    <x v="124"/>
    <s v="CREPIN-CONGO Frais d'hôtel  du 16 au 26/05/2025 à Impfondo (10 Nuites)/Crepin"/>
    <s v="Travel Subsistence"/>
    <s v="Operations"/>
    <n v="150000"/>
    <n v="267.40709671337424"/>
    <n v="579.64599999999996"/>
    <s v="Crépin"/>
    <s v="CR-MA-R3"/>
    <s v="PALF"/>
    <x v="1"/>
    <s v="Congo"/>
    <m/>
    <m/>
    <m/>
  </r>
  <r>
    <x v="125"/>
    <s v="Paiement salaire du mois de Mai 2025/Homéfa DOVI/3654869"/>
    <s v="Personnel"/>
    <s v="Management"/>
    <n v="1311000"/>
    <n v="2337.1380252748909"/>
    <n v="560.94248000000005"/>
    <s v="BCI"/>
    <s v="BQ-MA-R3"/>
    <s v="PALF"/>
    <x v="5"/>
    <s v="Congo"/>
    <m/>
    <m/>
    <m/>
  </r>
  <r>
    <x v="125"/>
    <s v="Paiement salaire du mois de Mai 2025/BAVOUMINA NZOUSSI Dina Parfaite/365873"/>
    <s v="Personnel"/>
    <s v="Office"/>
    <n v="230000"/>
    <n v="410.02421496050715"/>
    <n v="560.94248000000005"/>
    <s v="BCI"/>
    <s v="BQ-MA-R4"/>
    <s v="PALF"/>
    <x v="5"/>
    <s v="Congo"/>
    <m/>
    <m/>
    <m/>
  </r>
  <r>
    <x v="125"/>
    <s v="Paiement salaire du mois de Mai 2025/FOUMBA Roderlin/3654872"/>
    <s v="Personnel"/>
    <s v="Legal"/>
    <n v="200000"/>
    <n v="356.54279561783233"/>
    <n v="560.94248000000005"/>
    <s v="BCI"/>
    <s v="BQ-MA-R5"/>
    <s v="PALF"/>
    <x v="5"/>
    <s v="Congo"/>
    <m/>
    <m/>
    <m/>
  </r>
  <r>
    <x v="125"/>
    <s v="Paiement salaire du mois de Mai 2025/BOUNGOU MAKOSSO Abraham/3654870"/>
    <s v="Personnel"/>
    <s v="Legal"/>
    <n v="200000"/>
    <n v="356.54279561783233"/>
    <n v="560.94248000000005"/>
    <s v="BCI"/>
    <s v="BQ-MA-R6"/>
    <s v="PALF"/>
    <x v="5"/>
    <s v="Congo"/>
    <m/>
    <m/>
    <m/>
  </r>
  <r>
    <x v="125"/>
    <s v="Paiement salaire du mois de Mai 2025/LOUNDOU JeanRomain/3654871"/>
    <s v="Personnel"/>
    <s v="Legal"/>
    <n v="200000"/>
    <n v="356.54279561783233"/>
    <n v="560.94248000000005"/>
    <s v="BCI"/>
    <s v="BQ-MA-R7"/>
    <s v="PALF"/>
    <x v="5"/>
    <s v="Congo"/>
    <m/>
    <m/>
    <m/>
  </r>
  <r>
    <x v="125"/>
    <s v="Paiement salaire du mois de Mai 2025/Crepin IBOUILI-IBOUILI"/>
    <s v="Personnel"/>
    <s v="Legal"/>
    <n v="551482"/>
    <n v="983.13467006456699"/>
    <n v="560.94248000000005"/>
    <s v="BCI"/>
    <s v="BQ-MA-R8"/>
    <s v="PALF"/>
    <x v="5"/>
    <s v="Congo"/>
    <m/>
    <m/>
    <m/>
  </r>
  <r>
    <x v="125"/>
    <s v="Paiement salaire du mois de  Mai 2025/Evariste LELOUSSI"/>
    <s v="Personnel"/>
    <s v="Media"/>
    <n v="89773"/>
    <n v="160.03958195499828"/>
    <n v="560.94248000000005"/>
    <s v="BCI"/>
    <s v="BQ-MA-R9"/>
    <s v="PALF"/>
    <x v="5"/>
    <s v="Congo"/>
    <m/>
    <m/>
    <m/>
  </r>
  <r>
    <x v="125"/>
    <s v="Paiement salaire du mois de Mai 2025/PINDI BINGA Donald- Roméo"/>
    <s v="Personnel"/>
    <s v="Legal"/>
    <n v="300000"/>
    <n v="534.81419342674849"/>
    <n v="560.94248000000005"/>
    <s v="BCI"/>
    <s v="BQ-MA-R10"/>
    <s v="PALF"/>
    <x v="5"/>
    <s v="Congo"/>
    <m/>
    <m/>
    <m/>
  </r>
  <r>
    <x v="125"/>
    <s v="Achat encre HP Laser noir et couleur 216A"/>
    <s v="Office Materials"/>
    <s v="Office"/>
    <n v="300000"/>
    <n v="534.81419342674849"/>
    <n v="579.64599999999996"/>
    <s v="Parfaite"/>
    <s v="CA-MA-R19"/>
    <s v="PALF"/>
    <x v="1"/>
    <s v="Congo"/>
    <m/>
    <m/>
    <m/>
  </r>
  <r>
    <x v="125"/>
    <s v="P29 -CONGO Frais d'hotel du 16 au 26/05/2025 à impfondo"/>
    <s v="Travel Subsistence"/>
    <s v="Investigations"/>
    <n v="150000"/>
    <n v="267.40709671337424"/>
    <n v="579.64599999999996"/>
    <s v="P29"/>
    <s v="P29-MA-R14"/>
    <s v="PALF"/>
    <x v="1"/>
    <s v="Congo"/>
    <m/>
    <m/>
    <m/>
  </r>
  <r>
    <x v="125"/>
    <s v="Cumul frais de transport local du mois de Mai 2025/P29"/>
    <s v="Transport"/>
    <s v="Investigations"/>
    <n v="94900"/>
    <n v="169.17955652066144"/>
    <n v="579.64599999999996"/>
    <s v="P29"/>
    <s v="P29-MA-D3"/>
    <s v="PALF"/>
    <x v="1"/>
    <s v="Congo"/>
    <m/>
    <m/>
    <m/>
  </r>
  <r>
    <x v="125"/>
    <s v="IT87-CONGO Frais d'hôtel  du 22 au 26/05/2025 à Kelle (04 nuitées)"/>
    <s v="Travel Subsistence"/>
    <s v="Investigations"/>
    <n v="60000"/>
    <n v="106.96283868534969"/>
    <n v="579.64599999999996"/>
    <s v="IT87"/>
    <s v="IT87-MA-R4"/>
    <s v="PALF"/>
    <x v="1"/>
    <s v="Congo"/>
    <m/>
    <m/>
    <m/>
  </r>
  <r>
    <x v="125"/>
    <s v="Achat billet Kelle - Etoumbi/ IT87"/>
    <s v="Transport"/>
    <s v="Investigations"/>
    <n v="5000"/>
    <n v="8.9135698904458067"/>
    <n v="579.64599999999996"/>
    <s v="IT87"/>
    <s v="IT87-MA-R5"/>
    <s v="PALF"/>
    <x v="1"/>
    <s v="Congo"/>
    <m/>
    <m/>
    <m/>
  </r>
  <r>
    <x v="125"/>
    <s v="Cumul frais de trust building du mois de Mai 2025/ IT87"/>
    <s v="Trust Building"/>
    <s v="Investigations"/>
    <n v="12000"/>
    <n v="21.392567737069939"/>
    <n v="579.64599999999996"/>
    <s v="IT87"/>
    <s v="IT87-MA-D2"/>
    <s v="PALF"/>
    <x v="1"/>
    <s v="Congo"/>
    <m/>
    <m/>
    <m/>
  </r>
  <r>
    <x v="125"/>
    <s v="Frais de tansfert d'argent à Evariste et  P29 "/>
    <s v="Transfer Fees"/>
    <s v="Office"/>
    <n v="3800"/>
    <n v="6.7743131167388135"/>
    <n v="579.64599999999996"/>
    <s v="Abraham"/>
    <s v="CA-MA-R18"/>
    <s v="PALF"/>
    <x v="1"/>
    <s v="Congo"/>
    <m/>
    <m/>
    <m/>
  </r>
  <r>
    <x v="125"/>
    <s v="Frais d'impression de la photo et du mandat"/>
    <s v="Court fees"/>
    <s v="Legal"/>
    <n v="1400"/>
    <n v="2.4957995693248263"/>
    <n v="579.64599999999996"/>
    <s v="Donald-Romeo"/>
    <s v="DR-MA-R6"/>
    <s v="PALF"/>
    <x v="1"/>
    <s v="Congo"/>
    <m/>
    <m/>
    <m/>
  </r>
  <r>
    <x v="125"/>
    <s v="Paiement frais d'impression carte de visite coordinateur"/>
    <s v="Office Materials"/>
    <s v="Office"/>
    <n v="20000"/>
    <n v="35.654279561783227"/>
    <n v="579.64599999999996"/>
    <s v="Romain"/>
    <s v="CA-MA-R20"/>
    <s v="PALF"/>
    <x v="1"/>
    <s v="Congo"/>
    <m/>
    <m/>
    <m/>
  </r>
  <r>
    <x v="126"/>
    <s v="Raffraichissements pendant l'attente de l'opération avec 04 gendarmes en civile"/>
    <s v="Travel Subsistence"/>
    <s v="Operations"/>
    <n v="10000"/>
    <n v="17.827139780891613"/>
    <n v="579.64599999999996"/>
    <s v="Crépin"/>
    <s v="CR-MA-R4"/>
    <s v="PALF"/>
    <x v="1"/>
    <s v="Congo"/>
    <m/>
    <m/>
    <m/>
  </r>
  <r>
    <x v="126"/>
    <s v="Raffraichissement pendant la mission sur EPENA"/>
    <s v="Travel Subsistence"/>
    <s v="Operations"/>
    <n v="15000"/>
    <n v="26.740709671337424"/>
    <n v="579.64599999999996"/>
    <s v="Crépin"/>
    <s v="CR-MA-R5"/>
    <s v="PALF"/>
    <x v="1"/>
    <s v="Congo"/>
    <m/>
    <m/>
    <m/>
  </r>
  <r>
    <x v="126"/>
    <s v="Ration pendant la mission sur EPENA  avec 10 gendarmes, Evariste et Roméo"/>
    <s v="Travel Subsistence"/>
    <s v="Operations"/>
    <n v="13000"/>
    <n v="23.175281715159098"/>
    <n v="579.64599999999996"/>
    <s v="Crépin"/>
    <s v="CR-MA-R6"/>
    <s v="PALF"/>
    <x v="1"/>
    <s v="Congo"/>
    <m/>
    <m/>
    <m/>
  </r>
  <r>
    <x v="126"/>
    <s v="Achat de 100 litres de carburant aller et retour Impfondo-EPENA"/>
    <s v="Transport"/>
    <s v="Operations"/>
    <n v="100000"/>
    <n v="178.27139780891616"/>
    <n v="579.64599999999996"/>
    <s v="Crépin"/>
    <s v="CR-MA-R4"/>
    <s v="PALF"/>
    <x v="1"/>
    <s v="Congo"/>
    <m/>
    <m/>
    <m/>
  </r>
  <r>
    <x v="126"/>
    <s v="Bonus pour 03 gendarmes d'EPENA ayant aidé pour l'interpellation de Parfait"/>
    <s v="Travel Subsistence"/>
    <s v="Operations"/>
    <n v="15000"/>
    <n v="26.740709671337424"/>
    <n v="579.64599999999996"/>
    <s v="Crépin"/>
    <s v="CR-MA-R5"/>
    <s v="PALF"/>
    <x v="1"/>
    <s v="Congo"/>
    <m/>
    <m/>
    <m/>
  </r>
  <r>
    <x v="126"/>
    <s v="Frais de tansfert d'argent à P29 et Evariste"/>
    <s v="Transfer Fees"/>
    <s v="Office"/>
    <n v="2625"/>
    <n v="4.6796241924840487"/>
    <n v="579.64599999999996"/>
    <s v="Parfaite"/>
    <s v="CA-MA-R21"/>
    <s v="PALF"/>
    <x v="1"/>
    <s v="Congo"/>
    <m/>
    <m/>
    <m/>
  </r>
  <r>
    <x v="126"/>
    <s v=" Frais de prestation de nettoyage jardin PALF Mai 2025"/>
    <s v="Services"/>
    <s v="Office"/>
    <n v="20000"/>
    <n v="35.654279561783227"/>
    <n v="579.64599999999996"/>
    <s v="Parfaite"/>
    <s v="CA-MA-R22"/>
    <s v="PALF"/>
    <x v="1"/>
    <s v="Congo"/>
    <m/>
    <m/>
    <m/>
  </r>
  <r>
    <x v="126"/>
    <s v="Location véhicule pour extraction Impfondo-Enyelle/P29"/>
    <s v="Transport"/>
    <s v="Investigations"/>
    <n v="315000"/>
    <n v="561.5549030980859"/>
    <n v="579.64599999999996"/>
    <s v="P29"/>
    <s v="P29-MA-R15"/>
    <s v="PALF"/>
    <x v="1"/>
    <s v="Congo"/>
    <m/>
    <m/>
    <m/>
  </r>
  <r>
    <x v="126"/>
    <s v="Cumul frais de trust building du mois de Mai 2025/P29"/>
    <s v="Trust Building"/>
    <s v="Investigations"/>
    <n v="64100"/>
    <n v="114.27196599551526"/>
    <n v="579.64599999999996"/>
    <s v="P29"/>
    <s v="P29-MA-D4"/>
    <s v="PALF"/>
    <x v="1"/>
    <s v="Congo"/>
    <m/>
    <m/>
    <m/>
  </r>
  <r>
    <x v="126"/>
    <s v="T73 - CONGO Frais d'hotel du 22 au 27/05/20225 (05 nuitées) à Impfondo"/>
    <s v="Travel Subsistence"/>
    <s v="Investigations"/>
    <n v="75000"/>
    <n v="133.70354835668712"/>
    <n v="579.64599999999996"/>
    <s v="T73"/>
    <s v="T73-MA-R16"/>
    <s v="PALF"/>
    <x v="1"/>
    <s v="Congo"/>
    <m/>
    <m/>
    <m/>
  </r>
  <r>
    <x v="126"/>
    <s v="Cumul Frais de trust building du mois de Mai 2025/G12"/>
    <s v="Trust Building"/>
    <s v="Investigations"/>
    <n v="14000"/>
    <n v="24.957995693248261"/>
    <n v="579.64599999999996"/>
    <s v="G12"/>
    <s v="G12-MA-D3"/>
    <s v="PALF"/>
    <x v="1"/>
    <s v="Congo"/>
    <m/>
    <m/>
    <m/>
  </r>
  <r>
    <x v="126"/>
    <s v="Paiement Certificats d'hébergement  de martina et valentina"/>
    <s v="Travel Expenses"/>
    <s v="Investigations"/>
    <n v="60000"/>
    <n v="106.96283868534969"/>
    <n v="579.64599999999996"/>
    <s v="Roderlin"/>
    <s v="CA-MA-R23"/>
    <s v="PALF"/>
    <x v="1"/>
    <s v="Congo"/>
    <m/>
    <m/>
    <m/>
  </r>
  <r>
    <x v="126"/>
    <s v="Achat carburant BJ OP"/>
    <s v="Transport "/>
    <s v="Operations"/>
    <n v="25000"/>
    <n v="44.567849452229041"/>
    <n v="579.64599999999996"/>
    <s v="Donald-Romeo"/>
    <s v="DR-MA-R7"/>
    <s v="PALF"/>
    <x v="1"/>
    <s v="Congo"/>
    <m/>
    <m/>
    <m/>
  </r>
  <r>
    <x v="126"/>
    <s v="Raffraichissement OP  à Impfondo/10  gendarmes et moi"/>
    <s v="Travel Subsistence"/>
    <s v="Legal"/>
    <n v="25200"/>
    <n v="44.924392247846868"/>
    <n v="579.64599999999996"/>
    <s v="Donald-Romeo"/>
    <s v="DR-MA-R8"/>
    <s v="PALF"/>
    <x v="1"/>
    <s v="Congo"/>
    <m/>
    <m/>
    <m/>
  </r>
  <r>
    <x v="126"/>
    <s v="Rafraichissement de mon équipe lors de l'opération"/>
    <s v="Travel Subsistence"/>
    <s v="Media"/>
    <n v="10000"/>
    <n v="17.827139780891613"/>
    <n v="579.64599999999996"/>
    <s v="Evariste"/>
    <s v="EV-MA-R4"/>
    <s v="PALF"/>
    <x v="1"/>
    <s v="Congo"/>
    <m/>
    <m/>
    <m/>
  </r>
  <r>
    <x v="127"/>
    <s v="Frais de virement salaire du mois de Mai 2025/Evariste"/>
    <s v="Bank fees"/>
    <s v="Office"/>
    <n v="15166"/>
    <n v="27.036640191700222"/>
    <n v="579.64599999999996"/>
    <s v="BCI"/>
    <s v="BQ-MA-R15"/>
    <s v="PALF"/>
    <x v="1"/>
    <s v="Congo"/>
    <m/>
    <m/>
    <m/>
  </r>
  <r>
    <x v="127"/>
    <s v="Frais de virement salaire du mois de Mai 2025/Crepin IBOUILI"/>
    <s v="Bank fees"/>
    <s v="Office"/>
    <n v="19783"/>
    <n v="35.26743062853788"/>
    <n v="579.64599999999996"/>
    <s v="BCI"/>
    <s v="BQ-MA-R16"/>
    <s v="PALF"/>
    <x v="1"/>
    <s v="Congo"/>
    <m/>
    <m/>
    <m/>
  </r>
  <r>
    <x v="127"/>
    <s v="Frais de virement salaire du mois de Mai 2025/Donald-Roméo"/>
    <s v="Bank fees"/>
    <s v="Office"/>
    <n v="17268"/>
    <n v="30.78390497364364"/>
    <n v="579.64599999999996"/>
    <s v="BCI"/>
    <s v="BQ-MA-R17"/>
    <s v="PALF"/>
    <x v="1"/>
    <s v="Congo"/>
    <m/>
    <m/>
    <m/>
  </r>
  <r>
    <x v="127"/>
    <s v="Bonus de 16 gendarmes ayant participé à l'opération d'Impfondo, le 27/05/2025"/>
    <s v="Travel Subsistence"/>
    <s v="Legal"/>
    <n v="160000"/>
    <n v="285.23423649426582"/>
    <n v="579.64599999999996"/>
    <s v="Crépin"/>
    <s v="CR-MA-R9"/>
    <s v="PALF"/>
    <x v="1"/>
    <s v="Congo"/>
    <m/>
    <m/>
    <m/>
  </r>
  <r>
    <x v="127"/>
    <s v="Bonus de 10 gendarmes ayant effectué la mission d'EPENA le 27/05/2025"/>
    <s v="Travel Subsistence"/>
    <s v="Legal"/>
    <n v="100000"/>
    <n v="178.27139780891616"/>
    <n v="579.64599999999996"/>
    <s v="Crépin"/>
    <s v="CR-MA-R10"/>
    <s v="PALF"/>
    <x v="1"/>
    <s v="Congo"/>
    <m/>
    <m/>
    <m/>
  </r>
  <r>
    <x v="127"/>
    <s v="Bonus de 02 EF pour l'opération du 27/05/2025 à Impfondo"/>
    <s v="Travel Subsistence"/>
    <s v="Legal"/>
    <n v="20000"/>
    <n v="35.654279561783227"/>
    <n v="579.64599999999996"/>
    <s v="Crépin"/>
    <s v="CR-MA-R11"/>
    <s v="PALF"/>
    <x v="1"/>
    <s v="Congo"/>
    <m/>
    <m/>
    <m/>
  </r>
  <r>
    <x v="127"/>
    <s v="Reglement prestation de nettoyage  PALF du mois de Mai 2025"/>
    <s v="Services"/>
    <s v="Office"/>
    <n v="75625"/>
    <n v="134.81774459299285"/>
    <n v="579.64599999999996"/>
    <s v="Parfaite"/>
    <s v="CA-MA-R25"/>
    <s v="PALF"/>
    <x v="1"/>
    <s v="Congo"/>
    <m/>
    <m/>
    <m/>
  </r>
  <r>
    <x v="127"/>
    <s v="P29 -CONGO Frais d'hotel du 25 au 28/05/2025 à Impfondo lieu op(P29) (03 Nuitées)"/>
    <s v="Travel Subsistence"/>
    <s v="Investigations"/>
    <n v="135000"/>
    <n v="240.6663870420368"/>
    <n v="579.64599999999996"/>
    <s v="P29"/>
    <s v="P29-MA-R16"/>
    <s v="PALF"/>
    <x v="1"/>
    <s v="Congo"/>
    <m/>
    <m/>
    <m/>
  </r>
  <r>
    <x v="127"/>
    <s v="P29 -CONGO Frais d'hotel du 25 au 28/05/2025 à Impfondo lieu op(Crépin) (03 Nuitées)"/>
    <s v="Travel Subsistence"/>
    <s v="Investigations"/>
    <n v="135000"/>
    <n v="240.6663870420368"/>
    <n v="579.64599999999996"/>
    <s v="P29"/>
    <s v="P29-MA-R17"/>
    <s v="PALF"/>
    <x v="1"/>
    <s v="Congo"/>
    <m/>
    <m/>
    <m/>
  </r>
  <r>
    <x v="127"/>
    <s v="IT87-CONGO Frais d'hôtel Akoua du 26 au 28/05/2025 à Etoumbi (02 nuitées)"/>
    <s v="Travel Subsistence"/>
    <s v="Investigations"/>
    <n v="30000"/>
    <n v="53.481419342674847"/>
    <n v="579.64599999999996"/>
    <s v="IT87"/>
    <s v="IT87-MA-R6"/>
    <s v="PALF"/>
    <x v="1"/>
    <s v="Congo"/>
    <m/>
    <m/>
    <m/>
  </r>
  <r>
    <x v="127"/>
    <s v="Achat billet Etoumbi - Makoua/ IT87"/>
    <s v="Transport"/>
    <s v="Investigations"/>
    <n v="5000"/>
    <n v="8.9135698904458067"/>
    <n v="579.64599999999996"/>
    <s v="IT87"/>
    <s v="IT87-MA-R7"/>
    <s v="PALF"/>
    <x v="1"/>
    <s v="Congo"/>
    <m/>
    <m/>
    <m/>
  </r>
  <r>
    <x v="127"/>
    <s v="Cumul frais de transport local du mois de Mai 2025/G12"/>
    <s v="Transport"/>
    <s v="Investigations"/>
    <n v="48500"/>
    <n v="86.461627937324337"/>
    <n v="579.64599999999996"/>
    <s v="G12"/>
    <s v="G12-MA-D4"/>
    <s v="PALF"/>
    <x v="1"/>
    <s v="Congo"/>
    <m/>
    <m/>
    <m/>
  </r>
  <r>
    <x v="127"/>
    <s v="Frais de tansfert d'argent à P29 et Evariste"/>
    <s v="Transfer Fees"/>
    <s v="Office"/>
    <n v="3750"/>
    <n v="6.6851774178343559"/>
    <n v="579.64599999999996"/>
    <s v="Abraham"/>
    <s v="CA-MA-R24"/>
    <s v="PALF"/>
    <x v="1"/>
    <s v="Congo"/>
    <m/>
    <m/>
    <m/>
  </r>
  <r>
    <x v="128"/>
    <s v="Achat billet Makoua - Brazzaville/ IT87"/>
    <s v="Transport"/>
    <s v="Investigations"/>
    <n v="8000"/>
    <n v="14.261711824713291"/>
    <n v="579.64599999999996"/>
    <s v="IT87"/>
    <s v="IT87-MA-R8"/>
    <s v="PALF"/>
    <x v="1"/>
    <s v="Congo"/>
    <m/>
    <m/>
    <m/>
  </r>
  <r>
    <x v="128"/>
    <s v="IT87-CONGO Frais d'hôtel  du 28 au 29/05/2025 à Makoua (01 nuitée)"/>
    <s v="Travel Subsistence"/>
    <s v="Investigations"/>
    <n v="15000"/>
    <n v="26.740709671337424"/>
    <n v="579.64599999999996"/>
    <s v="IT87"/>
    <s v="IT87-MA-R9"/>
    <s v="PALF"/>
    <x v="1"/>
    <s v="Congo"/>
    <m/>
    <m/>
    <m/>
  </r>
  <r>
    <x v="128"/>
    <s v="Cumul frais de transport local du mois de Mai 2025/ IT87"/>
    <s v="Transport"/>
    <s v="Investigations"/>
    <n v="28700"/>
    <n v="51.163891171158937"/>
    <n v="579.64599999999996"/>
    <s v="IT87"/>
    <s v="IT87-MA-D3"/>
    <s v="PALF"/>
    <x v="1"/>
    <s v="Congo"/>
    <m/>
    <m/>
    <m/>
  </r>
  <r>
    <x v="129"/>
    <s v="Reglement honoraire du mois de Mai 2025/G12/3654842"/>
    <s v="Personnel"/>
    <s v="Investigations"/>
    <n v="245000"/>
    <n v="436.76492463184456"/>
    <n v="560.94248000000005"/>
    <s v="BCI"/>
    <s v="BQ-MA-R11"/>
    <s v="PALF"/>
    <x v="5"/>
    <s v="Congo"/>
    <m/>
    <m/>
    <m/>
  </r>
  <r>
    <x v="129"/>
    <s v="Cumul frais de transport local du mois de Mai 2025/DOVI"/>
    <s v="Transport"/>
    <s v="Management"/>
    <n v="57000"/>
    <n v="101.61469675108221"/>
    <n v="579.64599999999996"/>
    <s v="DOVI"/>
    <s v="DH-MA-D1"/>
    <s v="PALF"/>
    <x v="1"/>
    <s v="Congo"/>
    <m/>
    <m/>
    <m/>
  </r>
  <r>
    <x v="129"/>
    <s v="credit  teléphonique MTN/PALF/Première partie du mois de Juin 2025/Management"/>
    <s v="Telephone"/>
    <s v="Management"/>
    <n v="21000"/>
    <n v="37.43699353987239"/>
    <n v="579.64599999999996"/>
    <s v="DOVI"/>
    <s v="DH-MA-R4"/>
    <s v="PALF"/>
    <x v="1"/>
    <s v="Congo"/>
    <m/>
    <m/>
    <m/>
  </r>
  <r>
    <x v="129"/>
    <s v="Cumul frais de transport local du mois de Mai 2025/Crepin "/>
    <s v="Transport"/>
    <s v="Legal"/>
    <n v="21500"/>
    <n v="38.328350528916971"/>
    <n v="579.64599999999996"/>
    <s v="Crépin"/>
    <s v="CR-MA-D2"/>
    <s v="PALF"/>
    <x v="1"/>
    <s v="Congo"/>
    <m/>
    <m/>
    <m/>
  </r>
  <r>
    <x v="129"/>
    <s v="credit  teléphonique MTN/PALF/Première partie du mois de JUIN 2025/Legal"/>
    <s v="Telephone"/>
    <s v="Legal"/>
    <n v="16000"/>
    <n v="28.523423649426583"/>
    <n v="579.64599999999996"/>
    <s v="Crépin"/>
    <s v="CR-MA-R16"/>
    <s v="PALF"/>
    <x v="1"/>
    <s v="Congo"/>
    <m/>
    <m/>
    <m/>
  </r>
  <r>
    <x v="129"/>
    <s v="credit  teléphonique Airtel/PALF/Première partie du mois de Juin 2025/Legal"/>
    <s v="Telephone"/>
    <s v="Legal"/>
    <n v="5000"/>
    <n v="8.9135698904458067"/>
    <n v="579.64599999999996"/>
    <s v="Crépin"/>
    <s v="CR-MA-R17"/>
    <s v="PALF"/>
    <x v="1"/>
    <s v="Congo"/>
    <m/>
    <m/>
    <m/>
  </r>
  <r>
    <x v="129"/>
    <s v="Cumul frais de transport local du mois de Mai 2025/ Parfaite"/>
    <s v="Transport"/>
    <s v="Office"/>
    <n v="38500"/>
    <n v="68.634488156432724"/>
    <n v="579.64599999999996"/>
    <s v="Parfaite"/>
    <s v="P-MA-D1"/>
    <s v="PALF"/>
    <x v="1"/>
    <s v="Congo"/>
    <m/>
    <m/>
    <m/>
  </r>
  <r>
    <x v="129"/>
    <s v=" frais de ramassage Ordure Mai 2025"/>
    <s v="Rent &amp; Utilities"/>
    <s v="Office"/>
    <n v="10000"/>
    <n v="17.827139780891613"/>
    <n v="579.64599999999996"/>
    <s v="Parfaite"/>
    <s v="CA-MA-R26"/>
    <s v="PALF"/>
    <x v="1"/>
    <s v="Congo"/>
    <m/>
    <m/>
    <m/>
  </r>
  <r>
    <x v="129"/>
    <s v="Reglement facture internet periode du 01/05 au 30/06/2025 bureau PALF"/>
    <s v="Internet"/>
    <s v="Office"/>
    <n v="45050"/>
    <n v="80.311264712916724"/>
    <n v="579.64599999999996"/>
    <s v="Parfaite"/>
    <s v="CA-MA-R27"/>
    <s v="PALF"/>
    <x v="1"/>
    <s v="Congo"/>
    <m/>
    <m/>
    <m/>
  </r>
  <r>
    <x v="129"/>
    <s v="Frais de tansfert d'argent à P29 et T73"/>
    <s v="Transfer Fees"/>
    <s v="Office"/>
    <n v="11200"/>
    <n v="19.96639655459861"/>
    <n v="579.64599999999996"/>
    <s v="Parfaite"/>
    <s v="CA-MA-R29"/>
    <s v="PALF"/>
    <x v="1"/>
    <s v="Congo"/>
    <m/>
    <m/>
    <m/>
  </r>
  <r>
    <x v="129"/>
    <s v="credit  teléphonique MTN/PALF/Première partie du mois de Juin 2025/Office"/>
    <s v="Telephone"/>
    <s v="Office"/>
    <n v="21000"/>
    <n v="37.43699353987239"/>
    <n v="579.64599999999996"/>
    <s v="Parfaite"/>
    <s v="P-MA-R3"/>
    <s v="PALF"/>
    <x v="1"/>
    <s v="Congo"/>
    <m/>
    <m/>
    <m/>
  </r>
  <r>
    <x v="129"/>
    <s v="credit  teléphonique MTN/PALF/Première partie du mois de Juin 2025/Investigation"/>
    <s v="Telephone"/>
    <s v="Investigations"/>
    <n v="10000"/>
    <n v="17.827139780891613"/>
    <n v="579.64599999999996"/>
    <s v="P29"/>
    <s v="P29-MA-R23"/>
    <s v="PALF"/>
    <x v="1"/>
    <s v="Congo"/>
    <m/>
    <m/>
    <m/>
  </r>
  <r>
    <x v="129"/>
    <s v="credit  teléphonique Airtel/PALF/Première partie du mois de Juin 2025/Investigation"/>
    <s v="Telephone"/>
    <s v="Investigations"/>
    <n v="16000"/>
    <n v="28.523423649426583"/>
    <n v="579.64599999999996"/>
    <s v="P29"/>
    <s v="P29-MA-R24"/>
    <s v="PALF"/>
    <x v="1"/>
    <s v="Congo"/>
    <m/>
    <m/>
    <m/>
  </r>
  <r>
    <x v="129"/>
    <s v="credit  teléphonique MTN/PALF/Première partie du mois de Juin 2025/Investigation"/>
    <s v="Telephone"/>
    <s v="Investigations"/>
    <n v="26000"/>
    <n v="46.350563430318196"/>
    <n v="579.64599999999996"/>
    <s v="T73"/>
    <s v="T73-MA-R19"/>
    <s v="PALF"/>
    <x v="1"/>
    <s v="Congo"/>
    <m/>
    <m/>
    <m/>
  </r>
  <r>
    <x v="129"/>
    <s v="credit  teléphonique MTN/PALF/Première partie du mois de Juin 2025/Investigation"/>
    <s v="Telephone"/>
    <s v="Investigations"/>
    <n v="26000"/>
    <n v="46.350563430318196"/>
    <n v="579.64599999999996"/>
    <s v="IT87"/>
    <s v="IT87-MA-R11"/>
    <s v="PALF"/>
    <x v="1"/>
    <s v="Congo"/>
    <m/>
    <m/>
    <m/>
  </r>
  <r>
    <x v="129"/>
    <s v="credit  teléphonique MTN/PALF/Première partie du mois de Juin 2025/Investigation"/>
    <s v="Telephone"/>
    <s v="Investigations"/>
    <n v="10000"/>
    <n v="17.827139780891613"/>
    <n v="579.64599999999996"/>
    <s v="G12"/>
    <s v="G12-MA-R22"/>
    <s v="PALF"/>
    <x v="1"/>
    <s v="Congo"/>
    <m/>
    <m/>
    <m/>
  </r>
  <r>
    <x v="129"/>
    <s v="credit  teléphonique Airtel/PALF/Première partie du mois de Juin 2025/Investigation"/>
    <s v="Telephone"/>
    <s v="Investigations"/>
    <n v="16000"/>
    <n v="28.523423649426583"/>
    <n v="579.64599999999996"/>
    <s v="G12"/>
    <s v="G12-MA-R23"/>
    <s v="PALF"/>
    <x v="1"/>
    <s v="Congo"/>
    <m/>
    <m/>
    <m/>
  </r>
  <r>
    <x v="129"/>
    <s v="credit  teléphonique MTN/PALF/Première partie du mois de JUIN 2025/Legal"/>
    <s v="Telephone"/>
    <s v="Legal"/>
    <n v="16000"/>
    <n v="28.523423649426583"/>
    <n v="579.64599999999996"/>
    <s v="Abraham"/>
    <s v="AB-MA-R7"/>
    <s v="PALF"/>
    <x v="1"/>
    <s v="Congo"/>
    <m/>
    <m/>
    <m/>
  </r>
  <r>
    <x v="129"/>
    <s v="credit  teléphonique Airtel/PALF/Première partie du mois de Juin 2025/Legal"/>
    <s v="Telephone"/>
    <s v="Legal"/>
    <n v="5000"/>
    <n v="8.9135698904458067"/>
    <n v="579.64599999999996"/>
    <s v="Abraham"/>
    <s v="AB-MA-R8"/>
    <s v="PALF"/>
    <x v="1"/>
    <s v="Congo"/>
    <m/>
    <m/>
    <m/>
  </r>
  <r>
    <x v="129"/>
    <s v="Frais de tansfert d'argent à Crepin, Donald-Roméo et Evariste"/>
    <s v="Transfer Fees"/>
    <s v="Office"/>
    <n v="14100"/>
    <n v="25.136267091057178"/>
    <n v="579.64599999999996"/>
    <s v="Abraham"/>
    <s v="CA-MA-R28"/>
    <s v="PALF"/>
    <x v="1"/>
    <s v="Congo"/>
    <m/>
    <m/>
    <m/>
  </r>
  <r>
    <x v="129"/>
    <s v="Frais de transport mission Maitre Alain à Impfondo du 01 au 06/06/2025"/>
    <s v="Transport"/>
    <s v="Legal"/>
    <n v="74000"/>
    <n v="131.92083437859796"/>
    <n v="579.64599999999996"/>
    <s v="Abraham"/>
    <s v="CA-MA-R30"/>
    <s v="PALF"/>
    <x v="1"/>
    <s v="Congo"/>
    <m/>
    <m/>
    <m/>
  </r>
  <r>
    <x v="129"/>
    <s v="Ration et frais d'hotel mission maitre Alain à Impfondo du 01 au 06/06/2025"/>
    <s v="Travel Subsistence"/>
    <s v="Legal"/>
    <n v="125000"/>
    <n v="222.83924726114518"/>
    <n v="579.64599999999996"/>
    <s v="Abraham"/>
    <s v="CA-MA-R31"/>
    <s v="PALF"/>
    <x v="1"/>
    <s v="Congo"/>
    <m/>
    <m/>
    <m/>
  </r>
  <r>
    <x v="129"/>
    <s v="Cumul Frais de transport local  du mois de Mai 2025/Roderlin"/>
    <s v="Transport"/>
    <s v="Legal"/>
    <n v="26400"/>
    <n v="47.063649021553864"/>
    <n v="579.64599999999996"/>
    <s v="Roderlin"/>
    <s v="RO-MA-D3"/>
    <s v="PALF"/>
    <x v="1"/>
    <s v="Congo"/>
    <m/>
    <m/>
    <m/>
  </r>
  <r>
    <x v="129"/>
    <s v="credit  teléphonique MTN/PALF/Première partie du mois de JUIN 2025/Legal"/>
    <s v="Telephone"/>
    <s v="Legal"/>
    <n v="21000"/>
    <n v="37.43699353987239"/>
    <n v="579.64599999999996"/>
    <s v="Roderlin"/>
    <s v="RO-MA-R8"/>
    <s v="PALF"/>
    <x v="1"/>
    <s v="Congo"/>
    <m/>
    <m/>
    <m/>
  </r>
  <r>
    <x v="129"/>
    <s v="credit  teléphonique MTN/PALF/Première partie du mois de JUIN 2025/Legal"/>
    <s v="Telephone"/>
    <s v="Legal"/>
    <n v="21000"/>
    <n v="37.43699353987239"/>
    <n v="579.64599999999996"/>
    <s v="Donald-Romeo"/>
    <s v="DR-MA-R11"/>
    <s v="PALF"/>
    <x v="1"/>
    <s v="Congo"/>
    <m/>
    <m/>
    <m/>
  </r>
  <r>
    <x v="129"/>
    <s v="Cumul frais de transport local du mois de Mai 2025/ Evariste"/>
    <s v="Transport"/>
    <s v="Media"/>
    <n v="18000"/>
    <n v="32.088851605604908"/>
    <n v="579.64599999999996"/>
    <s v="Evariste"/>
    <s v="EV-MA-D2"/>
    <s v="PALF"/>
    <x v="1"/>
    <s v="Congo"/>
    <m/>
    <m/>
    <m/>
  </r>
  <r>
    <x v="129"/>
    <s v="Cumul frais de transport local du mois de Mai 2025/Romain"/>
    <s v="Transport"/>
    <s v="Legal"/>
    <n v="58400"/>
    <n v="104.11049632040704"/>
    <n v="579.64599999999996"/>
    <s v="Romain"/>
    <s v="RM-MA-D4"/>
    <s v="PALF"/>
    <x v="1"/>
    <s v="Congo"/>
    <m/>
    <m/>
    <m/>
  </r>
  <r>
    <x v="129"/>
    <s v="credit  teléphonique MTN/PALF/Première partie du mois de JUIN 2025/Legal"/>
    <s v="Telephone"/>
    <s v="Legal"/>
    <n v="21000"/>
    <n v="37.43699353987239"/>
    <n v="579.64599999999996"/>
    <s v="Romain"/>
    <s v="RM-MA-R10"/>
    <s v="PALF"/>
    <x v="1"/>
    <s v="Congo"/>
    <m/>
    <m/>
    <m/>
  </r>
  <r>
    <x v="129"/>
    <s v="credit  teléphonique MTN/PALF/Première partie du mois de Juin 2025/Media"/>
    <s v="Telephone"/>
    <s v="Media"/>
    <n v="10000"/>
    <n v="17.827139780891613"/>
    <n v="579.64599999999996"/>
    <s v="Evariste"/>
    <s v="EV-MA-R6"/>
    <s v="PALF"/>
    <x v="1"/>
    <s v="Congo"/>
    <m/>
    <m/>
    <m/>
  </r>
  <r>
    <x v="129"/>
    <s v="credit  teléphonique Airtel/PALF/Première partie du mois de Juin 2025/Media"/>
    <s v="Telephone"/>
    <s v="Media"/>
    <n v="11000"/>
    <n v="19.609853758980776"/>
    <n v="579.64599999999996"/>
    <s v="Evariste"/>
    <s v="EV-MA-R7"/>
    <s v="PALF"/>
    <x v="1"/>
    <s v="Congo"/>
    <m/>
    <m/>
    <m/>
  </r>
  <r>
    <x v="130"/>
    <s v="P29 -CONGO Frais d'hotel du 27 au 31/05/2025 à  enyelle (04 Nuitées)"/>
    <s v="Travel Subsistence"/>
    <s v="Investigations"/>
    <n v="60000"/>
    <n v="106.96283868534969"/>
    <n v="579.64599999999996"/>
    <s v="P29"/>
    <s v="P29-MA-R18"/>
    <s v="PALF"/>
    <x v="1"/>
    <s v="Congo"/>
    <m/>
    <m/>
    <m/>
  </r>
  <r>
    <x v="130"/>
    <s v="Cumul frais de transport local du mois de Mai 2025/T73"/>
    <s v="Transport"/>
    <s v="Investigations"/>
    <n v="99500"/>
    <n v="177.38004081987157"/>
    <n v="579.64599999999996"/>
    <s v="T73"/>
    <s v="T73-MA-D4"/>
    <s v="PALF"/>
    <x v="1"/>
    <s v="Congo"/>
    <m/>
    <m/>
    <m/>
  </r>
  <r>
    <x v="130"/>
    <s v="Cumul frais de transport local du mois de Mai 2025/ Abraham"/>
    <s v="Transport"/>
    <s v="Legal"/>
    <n v="31000"/>
    <n v="55.26413332076401"/>
    <n v="579.64599999999996"/>
    <s v="Abraham"/>
    <s v="AB-MA-D3"/>
    <s v="PALF"/>
    <x v="1"/>
    <s v="Congo"/>
    <m/>
    <m/>
    <m/>
  </r>
  <r>
    <x v="130"/>
    <s v="cumul frais de Jail visits du mois de Mai 2025/Donald-Romeo"/>
    <s v="Jail visit"/>
    <s v="Legal"/>
    <n v="40500"/>
    <n v="72.199916112611035"/>
    <n v="579.64599999999996"/>
    <s v="Donald-Romeo"/>
    <s v="DR-MA-D3"/>
    <s v="PALF"/>
    <x v="1"/>
    <s v="Congo"/>
    <m/>
    <m/>
    <m/>
  </r>
  <r>
    <x v="130"/>
    <s v="Cumul frais de transport local du mois de Mai 2025/Donald-Romeo"/>
    <s v="Transport "/>
    <s v="Legal"/>
    <n v="46000"/>
    <n v="82.00484299210143"/>
    <n v="579.64599999999996"/>
    <s v="Donald-Romeo"/>
    <s v="DR-MA-D4"/>
    <s v="PALF"/>
    <x v="1"/>
    <s v="Congo"/>
    <m/>
    <m/>
    <m/>
  </r>
  <r>
    <x v="131"/>
    <s v="T73 - CONGO Frais d'hotel du 27 au 01/06/2025 à Enyele(5nuitées)"/>
    <s v="Travel Subsistence"/>
    <s v="Investigations"/>
    <n v="75000"/>
    <n v="133.70354835668712"/>
    <n v="579.64599999999996"/>
    <s v="T73"/>
    <s v="T73-J-R1"/>
    <s v="PALF"/>
    <x v="1"/>
    <s v="Congo"/>
    <m/>
    <m/>
    <m/>
  </r>
  <r>
    <x v="131"/>
    <s v="Achat Billet Brazzaville-Impfondo/ Romain"/>
    <s v="Transport"/>
    <s v="Legal"/>
    <n v="33000"/>
    <n v="58.829561276942329"/>
    <n v="579.64599999999996"/>
    <s v="Romain"/>
    <s v="RM-J-R1"/>
    <s v="PALF"/>
    <x v="1"/>
    <s v="Congo"/>
    <m/>
    <m/>
    <m/>
  </r>
  <r>
    <x v="131"/>
    <s v="ROMAIN-CONGO: Ration du 01 au 08/2025 à Impfondo"/>
    <s v="Travel Subsistence"/>
    <s v="Legal"/>
    <n v="70000"/>
    <n v="124.78997846624131"/>
    <n v="579.64599999999996"/>
    <s v="Romain"/>
    <s v="RM-J-D1"/>
    <s v="PALF"/>
    <x v="1"/>
    <s v="Congo"/>
    <m/>
    <m/>
    <m/>
  </r>
  <r>
    <x v="132"/>
    <s v="Frais de transfert d'argent à  Evariste"/>
    <s v="Transfer Fees"/>
    <s v="Office"/>
    <n v="6000"/>
    <n v="10.696283868534969"/>
    <n v="579.64599999999996"/>
    <s v="Roderlin"/>
    <s v="CA-J-R1"/>
    <s v="PALF"/>
    <x v="1"/>
    <s v="Congo"/>
    <m/>
    <m/>
    <m/>
  </r>
  <r>
    <x v="132"/>
    <s v="Bonus media portant sur l'interpallation de 03 trafiquants à Impfondo(Tele congo chaine nationale en langues françcaisn, Kituba et lingala"/>
    <s v="Bonus to media officer"/>
    <s v="Media"/>
    <n v="200000"/>
    <n v="356.54279561783233"/>
    <n v="579.64599999999996"/>
    <s v="Evariste"/>
    <s v="CA-J-D1"/>
    <s v="PALF"/>
    <x v="1"/>
    <s v="Congo"/>
    <m/>
    <m/>
    <m/>
  </r>
  <r>
    <x v="132"/>
    <s v="Romain-CONGO: Frais d'hotel du 01 au 02/06/2025 à Ouesso (01 Nuitée)"/>
    <s v="Travel Subsistence"/>
    <s v="Legal"/>
    <n v="15000"/>
    <n v="26.740709671337424"/>
    <n v="579.64599999999996"/>
    <s v="Romain"/>
    <s v="RM-J-R2"/>
    <s v="PALF"/>
    <x v="1"/>
    <s v="Congo"/>
    <m/>
    <m/>
    <m/>
  </r>
  <r>
    <x v="132"/>
    <s v="Reglement honoraire du mois de Mai 2025/IT87/3654878"/>
    <s v="Personnel"/>
    <s v="Investigations"/>
    <n v="155200"/>
    <n v="276.67720939943786"/>
    <n v="560.94248000000005"/>
    <s v="BCI"/>
    <s v="BQ-J-R1"/>
    <s v="PALF"/>
    <x v="5"/>
    <s v="Congo"/>
    <m/>
    <m/>
    <m/>
  </r>
  <r>
    <x v="132"/>
    <s v="Paiement Honoraire Me LOCKO/Mois de Mai 2025/3654877"/>
    <s v="Lawyer Fees"/>
    <s v="Legal"/>
    <n v="150000"/>
    <n v="267.40709671337424"/>
    <n v="579.64599999999996"/>
    <s v="BCI"/>
    <s v="BQ-J-R2"/>
    <s v="PALF"/>
    <x v="1"/>
    <s v="Congo"/>
    <m/>
    <m/>
    <m/>
  </r>
  <r>
    <x v="133"/>
    <s v="Achat billet Enyele-Brazzaville/ P29"/>
    <s v="Transport"/>
    <s v="Investigations"/>
    <n v="28000"/>
    <n v="49.915991386496522"/>
    <n v="579.64599999999996"/>
    <s v="P29"/>
    <s v="P19-J-R1"/>
    <s v="PALF"/>
    <x v="1"/>
    <s v="Congo"/>
    <m/>
    <m/>
    <m/>
  </r>
  <r>
    <x v="133"/>
    <s v="Frais de tansfert d'argent à  Evariste"/>
    <s v="Transfer Fees"/>
    <s v="Office"/>
    <n v="5675"/>
    <n v="10.116901825655992"/>
    <n v="579.64599999999996"/>
    <s v="Parfaite"/>
    <s v="CA-J-R4"/>
    <s v="PALF"/>
    <x v="1"/>
    <s v="Congo"/>
    <m/>
    <m/>
    <m/>
  </r>
  <r>
    <x v="133"/>
    <s v="P29 -CONGO Frais d'hotel du 31/05 au 03/06/2025 à  enyelle (03 Nuitées)"/>
    <s v="Travel Subsistence"/>
    <s v="Investigations"/>
    <n v="45000"/>
    <n v="80.222129014012268"/>
    <n v="579.64599999999996"/>
    <s v="P29"/>
    <s v="P19-J-R2"/>
    <s v="PALF"/>
    <x v="1"/>
    <s v="Congo"/>
    <m/>
    <m/>
    <m/>
  </r>
  <r>
    <x v="133"/>
    <s v="T73 - CONGO Frais d'hotel du 01 au 03/06/2025 à Enyele (2 nuitées)"/>
    <s v="Travel Subsistence"/>
    <s v="Investigations"/>
    <n v="30000"/>
    <n v="53.481419342674847"/>
    <n v="579.64599999999996"/>
    <s v="T73"/>
    <s v="T73-J-R2"/>
    <s v="PALF"/>
    <x v="1"/>
    <s v="Congo"/>
    <m/>
    <m/>
    <m/>
  </r>
  <r>
    <x v="133"/>
    <s v="Achat billet : Enyele- Brazzaville/T73"/>
    <s v="Transport"/>
    <s v="Investigations"/>
    <n v="28000"/>
    <n v="49.915991386496522"/>
    <n v="579.64599999999996"/>
    <s v="T73"/>
    <s v="T73-J-R3"/>
    <s v="PALF"/>
    <x v="1"/>
    <s v="Congo"/>
    <m/>
    <m/>
    <m/>
  </r>
  <r>
    <x v="133"/>
    <s v="Cumul frais de trust building du mois de Juin 2025/IT87"/>
    <s v="Trust Building"/>
    <s v="Investigations"/>
    <n v="1500"/>
    <n v="2.6740709671337424"/>
    <n v="579.64599999999996"/>
    <s v="IT87"/>
    <s v="IT87-J-D1"/>
    <s v="PALF"/>
    <x v="1"/>
    <s v="Congo"/>
    <m/>
    <m/>
    <m/>
  </r>
  <r>
    <x v="133"/>
    <s v="Frais de transport mission Maitre Helene du 04 au 06/06/2025 à Owando"/>
    <s v="Transport"/>
    <s v="Legal"/>
    <n v="20000"/>
    <n v="35.654279561783227"/>
    <n v="579.64599999999996"/>
    <s v="Roderlin"/>
    <s v="CA-J-R2"/>
    <s v="PALF"/>
    <x v="1"/>
    <s v="Congo"/>
    <m/>
    <m/>
    <m/>
  </r>
  <r>
    <x v="133"/>
    <s v="Ration et frais d'hotel mission maitre Helène du 04 au 06/06/2025 à Owando"/>
    <s v="Travel Subsistence"/>
    <s v="Legal"/>
    <n v="50000"/>
    <n v="89.135698904458081"/>
    <n v="579.64599999999996"/>
    <s v="Roderlin"/>
    <s v="CA-J-R3"/>
    <s v="PALF"/>
    <x v="1"/>
    <s v="Congo"/>
    <m/>
    <m/>
    <m/>
  </r>
  <r>
    <x v="133"/>
    <s v="Achat billet Brazzaville-Owando"/>
    <s v="Transport"/>
    <s v="Legal"/>
    <n v="7000"/>
    <n v="12.47899784662413"/>
    <n v="579.64599999999996"/>
    <s v="Roderlin"/>
    <s v="RO-J-R1"/>
    <s v="PALF"/>
    <x v="1"/>
    <s v="Congo"/>
    <m/>
    <m/>
    <m/>
  </r>
  <r>
    <x v="133"/>
    <s v="Frais d'impression de la procédure de la gendarmerie"/>
    <s v="Office Materials"/>
    <s v="Legal"/>
    <n v="36250"/>
    <n v="64.6233817057321"/>
    <n v="579.64599999999996"/>
    <s v="Donald-Romeo"/>
    <s v="DR-J-R1"/>
    <s v="PALF"/>
    <x v="1"/>
    <s v="Congo"/>
    <m/>
    <m/>
    <m/>
  </r>
  <r>
    <x v="133"/>
    <s v="Achat billet Impfondo-Brazzaville/ Evariste"/>
    <s v="Transport"/>
    <s v="Media"/>
    <n v="33000"/>
    <n v="58.829561276942329"/>
    <n v="579.64599999999996"/>
    <s v="Evariste"/>
    <s v="EV-J-R1"/>
    <s v="PALF"/>
    <x v="1"/>
    <s v="Congo"/>
    <m/>
    <m/>
    <m/>
  </r>
  <r>
    <x v="133"/>
    <s v="Bonus media portant sur l'interpallation de 03 trafiquants à Impfondo ( Pièces presse internet, pièces presse papier et radio)"/>
    <s v="Bonus to media officer"/>
    <s v="Media"/>
    <n v="162000"/>
    <n v="288.79966445044414"/>
    <n v="579.64599999999996"/>
    <s v="Evariste"/>
    <s v="CA-J-D2"/>
    <s v="PALF"/>
    <x v="1"/>
    <s v="Congo"/>
    <m/>
    <m/>
    <m/>
  </r>
  <r>
    <x v="133"/>
    <s v="Romain-CONGO: Frais d'hotel du 02 au 03/06/2025 à Enyele (01 Nuitée)"/>
    <s v="Travel Subsistence"/>
    <s v="Legal"/>
    <n v="15000"/>
    <n v="26.740709671337424"/>
    <n v="579.64599999999996"/>
    <s v="Romain"/>
    <s v="RM-J-R3"/>
    <s v="PALF"/>
    <x v="1"/>
    <s v="Congo"/>
    <m/>
    <m/>
    <m/>
  </r>
  <r>
    <x v="134"/>
    <s v="Règlement Loyer Mai 2025/Coordinateur"/>
    <s v="Personnel"/>
    <s v="Management"/>
    <n v="174625"/>
    <n v="311.30642842381985"/>
    <n v="560.94248000000005"/>
    <s v="DOVI"/>
    <s v="DH-J-R1"/>
    <s v="PALF"/>
    <x v="5"/>
    <s v="Congo"/>
    <m/>
    <m/>
    <m/>
  </r>
  <r>
    <x v="134"/>
    <s v="CREPIN-CONGO Ration du 04 au 15/06/2025 à Impfondo"/>
    <s v="Travel Subsistence"/>
    <s v="Legal"/>
    <n v="111000"/>
    <n v="197.88125156789692"/>
    <n v="579.64599999999996"/>
    <s v="Crepin"/>
    <s v="CR-J-D1"/>
    <s v="PALF"/>
    <x v="1"/>
    <s v="Congo"/>
    <m/>
    <m/>
    <m/>
  </r>
  <r>
    <x v="134"/>
    <s v="Achat fournitures de bureau marqueurs, chemise cartonée, enveloppe , facturier/Bureau PALF"/>
    <s v="Office Materials"/>
    <s v="Office"/>
    <n v="79500"/>
    <n v="141.72576125808834"/>
    <n v="579.64599999999996"/>
    <s v="Parfaite"/>
    <s v="CA-J-R6"/>
    <s v="PALF"/>
    <x v="1"/>
    <s v="Congo"/>
    <m/>
    <m/>
    <m/>
  </r>
  <r>
    <x v="134"/>
    <s v="Frais de tansfert d'argent à  Evariste, Crepin, Romain et Donald-Roméo"/>
    <s v="Transfer Fees"/>
    <s v="Office"/>
    <n v="15500"/>
    <n v="27.632066660382005"/>
    <n v="579.64599999999996"/>
    <s v="Abraham"/>
    <s v="CA-J-R5"/>
    <s v="PALF"/>
    <x v="1"/>
    <s v="Congo"/>
    <m/>
    <m/>
    <m/>
  </r>
  <r>
    <x v="134"/>
    <s v="RODERLIN-CONGO Ration du 04 au 06/06/2025 à Owando (02 nuitées)"/>
    <s v="Travel Subsistence"/>
    <s v="Legal"/>
    <n v="20000"/>
    <n v="35.654279561783227"/>
    <n v="579.64599999999996"/>
    <s v="Roderlin"/>
    <s v="RO-J-D1"/>
    <s v="PALF"/>
    <x v="1"/>
    <s v="Congo"/>
    <m/>
    <m/>
    <m/>
  </r>
  <r>
    <x v="134"/>
    <s v="Donald-Roméo-CONGO Ration du 04 au 15/06/2025 à Impfondo"/>
    <s v="Travel Subsistence"/>
    <s v="Legal"/>
    <n v="111000"/>
    <n v="197.88125156789692"/>
    <n v="579.64599999999996"/>
    <s v="Donald-Romeo"/>
    <s v="DR-J-D1"/>
    <s v="PALF"/>
    <x v="1"/>
    <s v="Congo"/>
    <m/>
    <m/>
    <m/>
  </r>
  <r>
    <x v="134"/>
    <s v="Evariste-CONGO Ration  du 04 au 08 /06/ 2025 à Impfondo"/>
    <s v="Travel Subsistence"/>
    <s v="Media"/>
    <n v="40000"/>
    <n v="71.308559123566454"/>
    <n v="579.64599999999996"/>
    <s v="Evariste"/>
    <s v="EV-J-D1"/>
    <s v="PALF"/>
    <x v="1"/>
    <s v="Congo"/>
    <m/>
    <m/>
    <m/>
  </r>
  <r>
    <x v="134"/>
    <s v="Reglement Facture Gardiennage Mois de Mai 2025/3654876"/>
    <s v="Rent &amp; Utilities"/>
    <s v="Office"/>
    <n v="260000"/>
    <n v="463.50563430318198"/>
    <n v="579.64599999999996"/>
    <s v="BCI"/>
    <s v="BQ-J-R3"/>
    <s v="PALF"/>
    <x v="1"/>
    <s v="Congo"/>
    <m/>
    <m/>
    <m/>
  </r>
  <r>
    <x v="135"/>
    <s v="Frais de transport mission Maitre Alain à Impfondo du 01 au 15/06/2025"/>
    <s v="Transport"/>
    <s v="Office"/>
    <n v="18000"/>
    <n v="32.088851605604908"/>
    <n v="579.64599999999996"/>
    <s v="Parfaite"/>
    <s v="CA-J-R7"/>
    <s v="PALF"/>
    <x v="1"/>
    <s v="Congo"/>
    <m/>
    <m/>
    <m/>
  </r>
  <r>
    <x v="135"/>
    <s v="Ration et frais d'hotel mission maitre Alain à Impfondo du 01 au 15/06/2025"/>
    <s v="Travel Subsistence"/>
    <s v="Legal"/>
    <n v="225000"/>
    <n v="401.11064507006137"/>
    <n v="579.64599999999996"/>
    <s v="Parfaite"/>
    <s v="CA-J-R8"/>
    <s v="PALF"/>
    <x v="1"/>
    <s v="Congo"/>
    <m/>
    <m/>
    <m/>
  </r>
  <r>
    <x v="135"/>
    <s v="Frais de tansfert d'argent à Romain et Me Alain"/>
    <s v="Transfer Fees"/>
    <s v="Legal"/>
    <n v="5550"/>
    <n v="9.8940625783948466"/>
    <n v="579.64599999999996"/>
    <s v="Parfaite"/>
    <s v="CA-J-R9"/>
    <s v="PALF"/>
    <x v="1"/>
    <s v="Congo"/>
    <m/>
    <m/>
    <m/>
  </r>
  <r>
    <x v="135"/>
    <s v="Frais de tansfert d'argent à Roderlin"/>
    <s v="Transfer Fees"/>
    <s v="Office"/>
    <n v="875"/>
    <n v="1.5598747308280163"/>
    <n v="579.64599999999996"/>
    <s v="Parfaite"/>
    <s v="CA-J-R10"/>
    <s v="PALF"/>
    <x v="1"/>
    <s v="Congo"/>
    <m/>
    <m/>
    <m/>
  </r>
  <r>
    <x v="135"/>
    <s v="P29 -CONGO Frais d'hotel du 03 au 05/06/2025 à  oyo (02 Nuitées)"/>
    <s v="Travel Subsistence"/>
    <s v="Investigations"/>
    <n v="30000"/>
    <n v="53.481419342674847"/>
    <n v="579.64599999999996"/>
    <s v="P29"/>
    <s v="P19-J-R3"/>
    <s v="PALF"/>
    <x v="1"/>
    <s v="Congo"/>
    <m/>
    <m/>
    <m/>
  </r>
  <r>
    <x v="135"/>
    <s v="T73 - CONGO Frais d'hotel du 03 au 05/06/2025 (2 nuitées) à Oyo"/>
    <s v="Travel Subsistence"/>
    <s v="Investigations"/>
    <n v="30000"/>
    <n v="53.481419342674847"/>
    <n v="579.64599999999996"/>
    <s v="T73"/>
    <s v="T73-J-R4"/>
    <s v="PALF"/>
    <x v="1"/>
    <s v="Congo"/>
    <m/>
    <m/>
    <m/>
  </r>
  <r>
    <x v="135"/>
    <s v="Paiement des frais de notification de l'ordonnance de règlement definitif du cas EBI Aimé "/>
    <s v="Court fees"/>
    <s v="Legal"/>
    <n v="25000"/>
    <n v="44.567849452229041"/>
    <n v="579.64599999999996"/>
    <s v="Roderlin"/>
    <s v="RO-J-R3"/>
    <s v="PALF"/>
    <x v="1"/>
    <s v="Congo"/>
    <m/>
    <m/>
    <m/>
  </r>
  <r>
    <x v="135"/>
    <s v="Reglement loyer du mois de Mai 2025/3654864"/>
    <s v="Rent &amp; Utilities"/>
    <s v="Office"/>
    <n v="500000"/>
    <n v="891.3569890445807"/>
    <n v="579.64599999999996"/>
    <s v="BCI"/>
    <s v="BQ-J-R4"/>
    <s v="PALF"/>
    <x v="1"/>
    <s v="Congo"/>
    <m/>
    <m/>
    <m/>
  </r>
  <r>
    <x v="136"/>
    <s v="Achat billet Owando- Brazzaville "/>
    <s v="Transport"/>
    <s v="Legal"/>
    <n v="7000"/>
    <n v="12.47899784662413"/>
    <n v="579.64599999999996"/>
    <s v="Roderlin"/>
    <s v="RO-J-R2"/>
    <s v="PALF"/>
    <x v="1"/>
    <s v="Congo"/>
    <m/>
    <m/>
    <m/>
  </r>
  <r>
    <x v="136"/>
    <s v="Achat carburant groupe electrogène Bureau"/>
    <s v="Office Materials"/>
    <s v="Office"/>
    <n v="62500"/>
    <n v="111.41962363057259"/>
    <n v="579.64599999999996"/>
    <s v="T73"/>
    <s v="CA-J-R11"/>
    <s v="PALF"/>
    <x v="1"/>
    <s v="Congo"/>
    <m/>
    <m/>
    <m/>
  </r>
  <r>
    <x v="136"/>
    <s v="Paiement frais de formation"/>
    <s v="Training"/>
    <s v="Team Building"/>
    <n v="50000"/>
    <n v="89.135698904458081"/>
    <n v="579.64599999999996"/>
    <s v="T73"/>
    <s v="T73-J-R5"/>
    <s v="PALF"/>
    <x v="1"/>
    <s v="Congo"/>
    <m/>
    <m/>
    <m/>
  </r>
  <r>
    <x v="136"/>
    <s v="RODERLIN-CONGO frais d'hôtel du 04 au 06/06/2025 à Owando (02 nuitées)"/>
    <s v="Travel Subsistence"/>
    <s v="Legal"/>
    <n v="30000"/>
    <n v="53.481419342674847"/>
    <n v="579.64599999999996"/>
    <s v="Roderlin"/>
    <s v="RO-J-R4"/>
    <s v="PALF"/>
    <x v="1"/>
    <s v="Congo"/>
    <m/>
    <m/>
    <m/>
  </r>
  <r>
    <x v="136"/>
    <s v="Evariste- CONGO Frais de l'hôtel du 24/05 au 06/06/2025 à Impfondo  ( 13 nuitées) "/>
    <s v="Travel Subsistence"/>
    <s v="Media"/>
    <n v="195000"/>
    <n v="347.62922572738648"/>
    <n v="579.64599999999996"/>
    <s v="Evariste"/>
    <s v="EV-J-R2"/>
    <s v="PALF"/>
    <x v="1"/>
    <s v="Congo"/>
    <m/>
    <m/>
    <m/>
  </r>
  <r>
    <x v="136"/>
    <s v="Achat billet Impfondo- Brazzaville/ Romain"/>
    <s v="Transport"/>
    <s v="Legal"/>
    <n v="33000"/>
    <n v="58.829561276942329"/>
    <n v="579.64599999999996"/>
    <s v="Romain"/>
    <s v="RM-J-R4"/>
    <s v="PALF"/>
    <x v="1"/>
    <s v="Congo"/>
    <m/>
    <m/>
    <m/>
  </r>
  <r>
    <x v="136"/>
    <s v="Romain-CONGO: Frais d'hotel du 03 au 06/06/2025 à Impfondo (03 Nuitée)"/>
    <s v="Travel Subsistence"/>
    <s v="Legal"/>
    <n v="45000"/>
    <n v="80.222129014012268"/>
    <n v="579.64599999999996"/>
    <s v="Romain"/>
    <s v="RM-J-R5"/>
    <s v="PALF"/>
    <x v="1"/>
    <s v="Congo"/>
    <m/>
    <m/>
    <m/>
  </r>
  <r>
    <x v="136"/>
    <s v="Reglement honoraire du mois de de Mai 2025/P29/3654880"/>
    <s v="Personnel"/>
    <s v="Investigations"/>
    <n v="550000"/>
    <n v="980.49268794903878"/>
    <n v="560.94248000000005"/>
    <s v="BCI"/>
    <s v="BQ-J-R5"/>
    <s v="PALF"/>
    <x v="5"/>
    <s v="Congo"/>
    <m/>
    <m/>
    <m/>
  </r>
  <r>
    <x v="136"/>
    <s v="Reglement honoraire du mois de Mai 2025/T73/3654881"/>
    <s v="Personnel"/>
    <s v="Investigations"/>
    <n v="355000"/>
    <n v="632.8634622216523"/>
    <n v="560.94248000000005"/>
    <s v="BCI"/>
    <s v="BQ-J-R6"/>
    <s v="PALF"/>
    <x v="5"/>
    <s v="Congo"/>
    <m/>
    <m/>
    <m/>
  </r>
  <r>
    <x v="137"/>
    <s v="Evariste- CONGO Frais de l'hôtel du 06 au 07/06/ 2025 à Enyele (01 nuitée) "/>
    <s v="Travel Subsistence"/>
    <s v="Media"/>
    <n v="15000"/>
    <n v="26.740709671337424"/>
    <n v="579.64599999999996"/>
    <s v="Evariste"/>
    <s v="EV-J-R3"/>
    <s v="PALF"/>
    <x v="1"/>
    <s v="Congo"/>
    <m/>
    <m/>
    <m/>
  </r>
  <r>
    <x v="137"/>
    <s v="ROMAIN-CONGO: Frais d'hotel  du 06 au 07/06/2025 à Enyele (01nuitées)"/>
    <s v="Travel Subsistence"/>
    <s v="Legal"/>
    <n v="15000"/>
    <n v="26.740709671337424"/>
    <n v="579.64599999999996"/>
    <s v="Romain"/>
    <s v="RM-J-R6"/>
    <s v="PALF"/>
    <x v="1"/>
    <s v="Congo"/>
    <m/>
    <m/>
    <m/>
  </r>
  <r>
    <x v="138"/>
    <s v="Evariste- CONGO Frais de l'hôtel du 07 au 08/06/2025 à Gamboma (01 nuitée)"/>
    <s v="Travel Subsistence"/>
    <s v="Media"/>
    <n v="15000"/>
    <n v="26.740709671337424"/>
    <n v="579.64599999999996"/>
    <s v="Evariste"/>
    <s v="EV-J-R4"/>
    <s v="PALF"/>
    <x v="1"/>
    <s v="Congo"/>
    <m/>
    <m/>
    <m/>
  </r>
  <r>
    <x v="138"/>
    <s v="ROMAIN-CONGO: Frais d'hotel  du 07 au 08/06/2025 Gamboma (01nuitées)"/>
    <s v="Travel Subsistence"/>
    <s v="Legal"/>
    <n v="15000"/>
    <n v="26.740709671337424"/>
    <n v="579.64599999999996"/>
    <s v="Romain"/>
    <s v="RM-J-R7"/>
    <s v="PALF"/>
    <x v="1"/>
    <s v="Congo"/>
    <m/>
    <m/>
    <m/>
  </r>
  <r>
    <x v="139"/>
    <s v="Achat billet Brazzaville-Owando"/>
    <s v="Transport"/>
    <s v="Legal"/>
    <n v="7000"/>
    <n v="12.47899784662413"/>
    <n v="579.64599999999996"/>
    <s v="Roderlin"/>
    <s v="RO-J-R5"/>
    <s v="PALF"/>
    <x v="1"/>
    <s v="Congo"/>
    <m/>
    <m/>
    <m/>
  </r>
  <r>
    <x v="139"/>
    <s v="Frais de transport mission Maitre Hélene  du 11 au 14/06/2025 à Owando"/>
    <s v="Transport"/>
    <s v="Legal"/>
    <n v="22000"/>
    <n v="39.219707517961552"/>
    <n v="579.64599999999996"/>
    <s v="Roderlin"/>
    <s v="CA-J-R12"/>
    <s v="PALF"/>
    <x v="1"/>
    <s v="Congo"/>
    <m/>
    <m/>
    <m/>
  </r>
  <r>
    <x v="139"/>
    <s v="Ration et frais d'hotel mission maitre Hélène du 11 au 14/06/2025 à Owando"/>
    <s v="Travel Subsistence"/>
    <s v="Legal"/>
    <n v="75000"/>
    <n v="133.70354835668712"/>
    <n v="579.64599999999996"/>
    <s v="Roderlin"/>
    <s v="CA-J-R13"/>
    <s v="PALF"/>
    <x v="1"/>
    <s v="Congo"/>
    <m/>
    <m/>
    <m/>
  </r>
  <r>
    <x v="140"/>
    <s v="Bonus du mois de Mai 2025/Abraham"/>
    <s v="Personnel"/>
    <s v="Legal"/>
    <n v="30000"/>
    <n v="53.481419342674847"/>
    <n v="560.94248000000005"/>
    <s v="Abraham"/>
    <s v="CA-J-D3"/>
    <s v="PALF"/>
    <x v="5"/>
    <s v="Congo"/>
    <m/>
    <m/>
    <m/>
  </r>
  <r>
    <x v="140"/>
    <s v="Achat billet Brazzaville-Loudima/Abraham"/>
    <s v="Transport"/>
    <s v="Legal"/>
    <n v="8000"/>
    <n v="14.261711824713291"/>
    <n v="579.64599999999996"/>
    <s v="Abraham"/>
    <s v="AB-J-R1"/>
    <s v="PALF"/>
    <x v="1"/>
    <s v="Congo"/>
    <m/>
    <m/>
    <m/>
  </r>
  <r>
    <x v="141"/>
    <s v="ABRAHAM - CONGO Ration du 11 au 13/06/2025 à Sibiti (02 Nuitées)"/>
    <s v="Travel Subsistence"/>
    <s v="Legal"/>
    <n v="30000"/>
    <n v="53.481419342674847"/>
    <n v="579.64599999999996"/>
    <s v="Abraham"/>
    <s v="AB-J-D1"/>
    <s v="PALF"/>
    <x v="1"/>
    <s v="Congo"/>
    <m/>
    <m/>
    <m/>
  </r>
  <r>
    <x v="141"/>
    <s v="Taxi: Loudima-Sibiti"/>
    <s v="Transport"/>
    <s v="Legal"/>
    <n v="4000"/>
    <n v="7.1308559123566457"/>
    <n v="579.64599999999996"/>
    <s v="Abraham"/>
    <s v="AB-J-R2"/>
    <s v="PALF"/>
    <x v="1"/>
    <s v="Congo"/>
    <m/>
    <m/>
    <m/>
  </r>
  <r>
    <x v="141"/>
    <s v="RODERLIN-CONGO Ration du 11 au 14/06/2025 à Owando (03 nuitées)"/>
    <s v="Travel Subsistence"/>
    <s v="Legal"/>
    <n v="30000"/>
    <n v="53.481419342674847"/>
    <n v="579.64599999999996"/>
    <s v="Roderlin"/>
    <s v="RO-J-D2"/>
    <s v="PALF"/>
    <x v="1"/>
    <s v="Congo"/>
    <m/>
    <m/>
    <m/>
  </r>
  <r>
    <x v="141"/>
    <s v="Bonus du mois de Mai 2025/Evariste"/>
    <s v="Personnel"/>
    <s v="Media"/>
    <n v="20000"/>
    <n v="35.654279561783227"/>
    <n v="560.94248000000005"/>
    <s v="Evariste"/>
    <s v="CA-J-D4"/>
    <s v="PALF"/>
    <x v="5"/>
    <s v="Congo"/>
    <m/>
    <m/>
    <m/>
  </r>
  <r>
    <x v="141"/>
    <s v="Bonus opération du 27/05/2025 à Impfondo/Evariste"/>
    <s v="Bonus"/>
    <s v="Operations"/>
    <n v="40000"/>
    <n v="71.308559123566454"/>
    <n v="579.64599999999996"/>
    <s v="Evariste"/>
    <s v="CA-J-D5"/>
    <s v="PALF"/>
    <x v="1"/>
    <s v="Congo"/>
    <m/>
    <m/>
    <m/>
  </r>
  <r>
    <x v="141"/>
    <s v="Cumul frais de transport local du mois de Juin 2025/Romain"/>
    <s v="Transport"/>
    <s v="Legal"/>
    <n v="22500"/>
    <n v="40.111064507006134"/>
    <n v="579.64599999999996"/>
    <s v="Romain"/>
    <s v="RM-J-D2"/>
    <s v="PALF"/>
    <x v="1"/>
    <s v="Congo"/>
    <m/>
    <m/>
    <m/>
  </r>
  <r>
    <x v="141"/>
    <s v="Frais de tansfert d'argent à Crépin et Donald-Roméo"/>
    <s v="Transfer Fees"/>
    <s v="Office"/>
    <n v="9600"/>
    <n v="17.114054189655949"/>
    <n v="579.64599999999996"/>
    <s v="Romain"/>
    <s v="CA-J-R14"/>
    <s v="PALF"/>
    <x v="1"/>
    <s v="Congo"/>
    <m/>
    <m/>
    <m/>
  </r>
  <r>
    <x v="141"/>
    <s v="Bonus du mois de Mai 2025/Romain"/>
    <s v="Personnel"/>
    <s v="Legal"/>
    <n v="30000"/>
    <n v="53.481419342674847"/>
    <n v="560.94248000000005"/>
    <s v="Romain"/>
    <s v="CA-J-D6"/>
    <s v="PALF"/>
    <x v="5"/>
    <s v="Congo"/>
    <m/>
    <m/>
    <m/>
  </r>
  <r>
    <x v="141"/>
    <s v="Prime du 13 eme Mois 2024/Romain"/>
    <s v="Personnel"/>
    <s v="Legal"/>
    <n v="127070"/>
    <n v="226.52946519578975"/>
    <n v="560.94248000000005"/>
    <s v="Romain"/>
    <s v="CA-J-D7"/>
    <s v="PALF"/>
    <x v="5"/>
    <s v="Congo"/>
    <m/>
    <m/>
    <m/>
  </r>
  <r>
    <x v="142"/>
    <s v="Achat de 02 petit telephone bureau PALF"/>
    <s v="Equipment"/>
    <s v="Office"/>
    <n v="18000"/>
    <n v="32.088851605604908"/>
    <n v="579.64599999999996"/>
    <s v="Parfaite"/>
    <s v="CA-J-R15"/>
    <s v="PALF"/>
    <x v="1"/>
    <s v="Congo"/>
    <m/>
    <m/>
    <m/>
  </r>
  <r>
    <x v="142"/>
    <s v="Bonus du mois de Mai 2025/Parfaite"/>
    <s v="Personnel"/>
    <s v="Management"/>
    <n v="30000"/>
    <n v="53.481419342674847"/>
    <n v="560.94248000000005"/>
    <s v="Parfaite"/>
    <s v="CA-J-D8"/>
    <s v="PALF"/>
    <x v="5"/>
    <s v="Congo"/>
    <m/>
    <m/>
    <m/>
  </r>
  <r>
    <x v="142"/>
    <s v="Paiement salaire du mois de Mai 2025/LOUNDOU JeanRomain/3654891"/>
    <s v="Personnel"/>
    <s v="Legal"/>
    <n v="220293"/>
    <n v="392.71941037519565"/>
    <n v="560.94248000000005"/>
    <s v="BCI"/>
    <s v="BQ-J-R7"/>
    <s v="PALF"/>
    <x v="5"/>
    <s v="Congo"/>
    <m/>
    <m/>
    <m/>
  </r>
  <r>
    <x v="143"/>
    <s v="Achat billet Impfondo-Brazzaville/Donald-Roméo"/>
    <s v="Transport "/>
    <s v="Legal"/>
    <n v="33000"/>
    <n v="58.829561276942329"/>
    <n v="579.64599999999996"/>
    <s v="Donald-Romeo"/>
    <s v="DR-J-R2"/>
    <s v="PALF"/>
    <x v="1"/>
    <s v="Congo"/>
    <m/>
    <m/>
    <m/>
  </r>
  <r>
    <x v="143"/>
    <s v="Achat Billet Impfondo-Brazzaville/ Crepin"/>
    <s v="Transport"/>
    <s v="Legal"/>
    <n v="33000"/>
    <n v="58.829561276942329"/>
    <n v="579.64599999999996"/>
    <s v="Crepin"/>
    <s v="CR-J-R1"/>
    <s v="PALF"/>
    <x v="1"/>
    <s v="Congo"/>
    <m/>
    <m/>
    <m/>
  </r>
  <r>
    <x v="143"/>
    <s v=" Crepin-CONGO Frais d'hôtel du 27/05 au 13/06 2025  à Impfondo (17 Nuitées)"/>
    <s v="Travel Subsistence"/>
    <s v="Legal"/>
    <n v="255000"/>
    <n v="454.59206441273619"/>
    <n v="579.64599999999996"/>
    <s v="Crepin"/>
    <s v="CR-J-R2"/>
    <s v="PALF"/>
    <x v="1"/>
    <s v="Congo"/>
    <m/>
    <m/>
    <m/>
  </r>
  <r>
    <x v="143"/>
    <s v="Frais de tansfert d'argent à Roderlin et Abraham"/>
    <s v="Transfer Fees"/>
    <s v="Office"/>
    <n v="1600"/>
    <n v="2.8523423649426585"/>
    <n v="579.64599999999996"/>
    <s v="Parfaite"/>
    <s v="CA-J-R16"/>
    <s v="PALF"/>
    <x v="1"/>
    <s v="Congo"/>
    <m/>
    <m/>
    <m/>
  </r>
  <r>
    <x v="143"/>
    <s v="Donald Roméo-CONGO Frais d'hôtel du 16/05 au 13/06/2025 à Impfondo ( 28 Nuitées )"/>
    <s v="Travel Subsistence"/>
    <s v="Legal"/>
    <n v="420000"/>
    <n v="748.73987079744779"/>
    <n v="579.64599999999996"/>
    <s v="Donald-Romeo"/>
    <s v="DR-J-R3"/>
    <s v="PALF"/>
    <x v="1"/>
    <s v="Congo"/>
    <m/>
    <m/>
    <m/>
  </r>
  <r>
    <x v="144"/>
    <s v="Achat billet Owando- Brazzaville "/>
    <s v="Transport"/>
    <s v="Legal"/>
    <n v="7000"/>
    <n v="12.47899784662413"/>
    <n v="579.64599999999996"/>
    <s v="Roderlin"/>
    <s v="RO-J-R6"/>
    <s v="PALF"/>
    <x v="1"/>
    <s v="Congo"/>
    <m/>
    <m/>
    <m/>
  </r>
  <r>
    <x v="144"/>
    <s v="Crépin-CONGO Frais d'hôtel du 13 au 14/06/2025 à Enyele (01 nuitée)"/>
    <s v="Travel Subsistence"/>
    <s v="Legal"/>
    <n v="15000"/>
    <n v="26.740709671337424"/>
    <n v="579.64599999999996"/>
    <s v="Crepin"/>
    <s v="CR-J-R3"/>
    <s v="PALF"/>
    <x v="1"/>
    <s v="Congo"/>
    <m/>
    <m/>
    <m/>
  </r>
  <r>
    <x v="144"/>
    <s v="ABRAHAM - CONGO frais d'Hôtel (Hôtel Le Papyrus) du 11 au 14/06/2025 à Sibiti (03 Nuitées)"/>
    <s v="Travel Subsistence"/>
    <s v="Legal"/>
    <n v="45000"/>
    <n v="80.222129014012268"/>
    <n v="579.64599999999996"/>
    <s v="Abraham"/>
    <s v="AB-J-R3"/>
    <s v="PALF"/>
    <x v="1"/>
    <s v="Congo"/>
    <m/>
    <m/>
    <m/>
  </r>
  <r>
    <x v="144"/>
    <s v="Taxi: Sibiti-Nkayi"/>
    <s v="Transport"/>
    <s v="Legal"/>
    <n v="5000"/>
    <n v="8.9135698904458067"/>
    <n v="579.64599999999996"/>
    <s v="Abraham"/>
    <s v="AB-J-R4"/>
    <s v="PALF"/>
    <x v="1"/>
    <s v="Congo"/>
    <m/>
    <m/>
    <m/>
  </r>
  <r>
    <x v="144"/>
    <s v="Achat Billet Nkayi-Brazzaville"/>
    <s v="Transport"/>
    <s v="Legal"/>
    <n v="7000"/>
    <n v="12.47899784662413"/>
    <n v="579.64599999999996"/>
    <s v="Abraham"/>
    <s v="AB-J-R5"/>
    <s v="PALF"/>
    <x v="1"/>
    <s v="Congo"/>
    <m/>
    <m/>
    <m/>
  </r>
  <r>
    <x v="144"/>
    <s v="RODERLIN-CONGO frais d'hôtel du 11 au 14/06/2025 à Owando (03 nuitées)"/>
    <s v="Travel Subsistence"/>
    <s v="Legal"/>
    <n v="45000"/>
    <n v="80.222129014012268"/>
    <n v="579.64599999999996"/>
    <s v="Roderlin"/>
    <s v="RO-J-R7"/>
    <s v="PALF"/>
    <x v="1"/>
    <s v="Congo"/>
    <m/>
    <m/>
    <m/>
  </r>
  <r>
    <x v="144"/>
    <s v="Donald Roméo- CONGO Frais d'hôtel du 13 au 14/06/2025 à Enyele ( 01 Nuitée)"/>
    <s v="Travel Subsistence"/>
    <s v="Legal"/>
    <n v="15000"/>
    <n v="26.740709671337424"/>
    <n v="579.64599999999996"/>
    <s v="Donald-Romeo"/>
    <s v="DR-J-R4"/>
    <s v="PALF"/>
    <x v="1"/>
    <s v="Congo"/>
    <m/>
    <m/>
    <m/>
  </r>
  <r>
    <x v="145"/>
    <s v="Frais d'Hôtel, Crépin-CONGO Frais d'hôtel du 14 au 15/06/2025 à Oyo (01 Nuitée )"/>
    <s v="Travel Subsistence"/>
    <s v="Legal"/>
    <n v="15000"/>
    <n v="26.740709671337424"/>
    <n v="579.64599999999996"/>
    <s v="Crepin"/>
    <s v="CR-J-R4"/>
    <s v="PALF"/>
    <x v="1"/>
    <s v="Congo"/>
    <m/>
    <m/>
    <m/>
  </r>
  <r>
    <x v="145"/>
    <s v="Donald Roméo- CONGO Frais d'hôtel du 14 au 15/06/2025 à Oyo  01 Nuitée)"/>
    <s v="Travel Subsistence"/>
    <s v="Legal"/>
    <n v="15000"/>
    <n v="26.740709671337424"/>
    <n v="579.64599999999996"/>
    <s v="Donald-Romeo"/>
    <s v="DR-J-R5"/>
    <s v="PALF"/>
    <x v="1"/>
    <s v="Congo"/>
    <m/>
    <m/>
    <m/>
  </r>
  <r>
    <x v="146"/>
    <s v="Credit telephonique MTN PALF/Deuxième partie du mois de Juin 2025/DOVI"/>
    <s v="Telephone"/>
    <s v="Management"/>
    <n v="10000"/>
    <n v="17.827139780891613"/>
    <n v="579.64599999999996"/>
    <s v="DOVI"/>
    <s v="DH-J-R2"/>
    <s v="PALF"/>
    <x v="1"/>
    <s v="Congo"/>
    <m/>
    <m/>
    <m/>
  </r>
  <r>
    <x v="146"/>
    <s v="Bonus du mois de Mai 2025/Crepin"/>
    <s v="Personnel"/>
    <s v="Legal"/>
    <n v="30000"/>
    <n v="53.481419342674847"/>
    <n v="560.94248000000005"/>
    <s v="Crepin"/>
    <s v="CA-J-D9"/>
    <s v="PALF"/>
    <x v="5"/>
    <s v="Congo"/>
    <m/>
    <m/>
    <m/>
  </r>
  <r>
    <x v="146"/>
    <s v="Bonus operation du 27/05/2025 à Impfondo/Crepin"/>
    <s v="Bonus"/>
    <s v="Operations"/>
    <n v="50000"/>
    <n v="89.135698904458081"/>
    <n v="579.64599999999996"/>
    <s v="Crepin"/>
    <s v="CA-J-D10"/>
    <s v="PALF"/>
    <x v="1"/>
    <s v="Congo"/>
    <m/>
    <m/>
    <m/>
  </r>
  <r>
    <x v="146"/>
    <s v="Credit teléphonique MTN PALF/Deuxième partie du mois de Juin 2025/Crepin"/>
    <s v="Telephone"/>
    <s v="Legal"/>
    <n v="5000"/>
    <n v="8.9135698904458067"/>
    <n v="579.64599999999996"/>
    <s v="Crepin"/>
    <s v="CR-J-R5"/>
    <s v="PALF"/>
    <x v="1"/>
    <s v="Congo"/>
    <m/>
    <m/>
    <m/>
  </r>
  <r>
    <x v="146"/>
    <s v="Credit teléphonique AIRTEL PALF/Deuxième partie du mois de Juin 2025/Crepin"/>
    <s v="Telephone"/>
    <s v="Legal"/>
    <n v="5000"/>
    <n v="8.9135698904458067"/>
    <n v="579.64599999999996"/>
    <s v="Crepin"/>
    <s v="CR-J-R6"/>
    <s v="PALF"/>
    <x v="1"/>
    <s v="Congo"/>
    <m/>
    <m/>
    <m/>
  </r>
  <r>
    <x v="146"/>
    <s v="Credit teléphonique MTN PALF/Deuxième partie du mois de Juin 2025/ Parfaite"/>
    <s v="Telephone"/>
    <s v="Management"/>
    <n v="10000"/>
    <n v="17.827139780891613"/>
    <n v="579.64599999999996"/>
    <s v="Parfaite"/>
    <s v="P-J-R1"/>
    <s v="PALF"/>
    <x v="1"/>
    <s v="Congo"/>
    <m/>
    <m/>
    <m/>
  </r>
  <r>
    <x v="146"/>
    <s v="Credit teléphonique MTN PALF/Deuxième partie du mois de Juin 2025/P29"/>
    <s v="Telephone"/>
    <s v="Investigations"/>
    <n v="10000"/>
    <n v="17.827139780891613"/>
    <n v="579.64599999999996"/>
    <s v="P29"/>
    <s v="P19-J-R4"/>
    <s v="PALF"/>
    <x v="1"/>
    <s v="Congo"/>
    <m/>
    <m/>
    <m/>
  </r>
  <r>
    <x v="146"/>
    <s v="credit teléphonique AIRTEL PALF/Deuxième partie du mois de Juin 2025/P29"/>
    <s v="Telephone"/>
    <s v="Investigations"/>
    <n v="5000"/>
    <n v="8.9135698904458067"/>
    <n v="579.64599999999996"/>
    <s v="P29"/>
    <s v="P19-J-R5"/>
    <s v="PALF"/>
    <x v="1"/>
    <s v="Congo"/>
    <m/>
    <m/>
    <m/>
  </r>
  <r>
    <x v="146"/>
    <s v="Crédit teléphonique MTN PALF/Deuxième partie du mois de Juin 2025"/>
    <s v="Telephone"/>
    <s v="Investigations"/>
    <n v="15000"/>
    <n v="26.740709671337424"/>
    <n v="579.64599999999996"/>
    <s v="T73"/>
    <s v="T73-J-R6"/>
    <s v="PALF"/>
    <x v="1"/>
    <s v="Congo"/>
    <m/>
    <m/>
    <m/>
  </r>
  <r>
    <x v="146"/>
    <s v="Credit teléphonique MTN PALF / Deuxième partie du mois de Juin 2025/ IT87"/>
    <s v="Telephone"/>
    <s v="Investigations"/>
    <n v="15000"/>
    <n v="26.740709671337424"/>
    <n v="579.64599999999996"/>
    <s v="IT87"/>
    <s v="IT87-J-R1"/>
    <s v="PALF"/>
    <x v="1"/>
    <s v="Congo"/>
    <m/>
    <m/>
    <m/>
  </r>
  <r>
    <x v="146"/>
    <s v="Credit télephonique MTN PALF/Deuxième partie du mois de Juin 2025/G12"/>
    <s v="Telephone"/>
    <s v="Investigations"/>
    <n v="5000"/>
    <n v="8.9135698904458067"/>
    <n v="579.64599999999996"/>
    <s v="G12"/>
    <s v="G12-J-R1"/>
    <s v="PALF"/>
    <x v="1"/>
    <s v="Congo"/>
    <m/>
    <m/>
    <m/>
  </r>
  <r>
    <x v="146"/>
    <s v="Credit télephonique AIRTEL PALF/Deuxième partie du mois de Juin 2025/G12"/>
    <s v="Telephone"/>
    <s v="Investigations"/>
    <n v="10000"/>
    <n v="17.827139780891613"/>
    <n v="579.64599999999996"/>
    <s v="G12"/>
    <s v="G12-J-R2"/>
    <s v="PALF"/>
    <x v="1"/>
    <s v="Congo"/>
    <m/>
    <m/>
    <m/>
  </r>
  <r>
    <x v="146"/>
    <s v="Credit teléphonique MTN PALF/ Deuxième partie du mois de Juin 2025/ Abraham"/>
    <s v="Telephone"/>
    <s v="Legal"/>
    <n v="5000"/>
    <n v="8.9135698904458067"/>
    <n v="579.64599999999996"/>
    <s v="Abraham"/>
    <s v="AB-J-R6"/>
    <s v="PALF"/>
    <x v="1"/>
    <s v="Congo"/>
    <m/>
    <m/>
    <m/>
  </r>
  <r>
    <x v="146"/>
    <s v="Credit teléphonique AIRTEL PALF/ Deuxième partie du mois de Juin 2025/ Abraham"/>
    <s v="Telephone"/>
    <s v="Legal"/>
    <n v="5000"/>
    <n v="8.9135698904458067"/>
    <n v="579.64599999999996"/>
    <s v="Abraham"/>
    <s v="AB-J-R7"/>
    <s v="PALF"/>
    <x v="1"/>
    <s v="Congo"/>
    <m/>
    <m/>
    <m/>
  </r>
  <r>
    <x v="146"/>
    <s v="Credit teléphonique MTN PALF/Deuxième partie du mois de Juin 2025/Roderlin"/>
    <s v="Telephone"/>
    <s v="Legal"/>
    <n v="10000"/>
    <n v="17.827139780891613"/>
    <n v="579.64599999999996"/>
    <s v="Roderlin"/>
    <s v="RO-J-R8"/>
    <s v="PALF"/>
    <x v="1"/>
    <s v="Congo"/>
    <m/>
    <m/>
    <m/>
  </r>
  <r>
    <x v="146"/>
    <s v="Bonus du mois de Mai 2025/Roderlin"/>
    <s v="Personnel"/>
    <s v="Legal"/>
    <n v="30000"/>
    <n v="53.481419342674847"/>
    <n v="560.94248000000005"/>
    <s v="Roderlin"/>
    <s v="CA-J-D13"/>
    <s v="PALF"/>
    <x v="5"/>
    <s v="Congo"/>
    <m/>
    <m/>
    <m/>
  </r>
  <r>
    <x v="146"/>
    <s v="Credit teléphonique MTN PALF/Dexième partie du mois de Juin 2025/Donald-Roméo"/>
    <s v="Telephone"/>
    <s v="Legal"/>
    <n v="10000"/>
    <n v="17.827139780891613"/>
    <n v="579.64599999999996"/>
    <s v="Donald-Romeo"/>
    <s v="DR-J-R6"/>
    <s v="PALF"/>
    <x v="1"/>
    <s v="Congo"/>
    <m/>
    <m/>
    <m/>
  </r>
  <r>
    <x v="146"/>
    <s v="Bonus du mois de Mai 2025/Donald-Roméo"/>
    <s v="Personnel"/>
    <s v="Legal"/>
    <n v="30000"/>
    <n v="53.481419342674847"/>
    <n v="560.94248000000005"/>
    <s v="Donald-Romeo"/>
    <s v="CA-J-D11"/>
    <s v="PALF"/>
    <x v="5"/>
    <s v="Congo"/>
    <m/>
    <m/>
    <m/>
  </r>
  <r>
    <x v="146"/>
    <s v="Bonus operation du 27/05/2025 à Impfondo/Donald-Roméo"/>
    <s v="Bonus"/>
    <s v="Operations"/>
    <n v="40000"/>
    <n v="71.308559123566454"/>
    <n v="579.64599999999996"/>
    <s v="Donald-Romeo"/>
    <s v="CA-J-D12"/>
    <s v="PALF"/>
    <x v="1"/>
    <s v="Congo"/>
    <m/>
    <m/>
    <m/>
  </r>
  <r>
    <x v="146"/>
    <s v="Credit teléphonique MTN PALF/ Deuxième partie du mois de Juin 2025"/>
    <s v="Telephone"/>
    <s v="Media"/>
    <n v="10000"/>
    <n v="17.827139780891613"/>
    <n v="579.64599999999996"/>
    <s v="Evariste"/>
    <s v="EV-J-R5"/>
    <s v="PALF"/>
    <x v="1"/>
    <s v="Congo"/>
    <m/>
    <m/>
    <m/>
  </r>
  <r>
    <x v="146"/>
    <s v="Acompte honoraire contrat N°84 Impfondo cas MBEKELE, MOUANDOLA et EBOUZI/Maitre Marie Alain BAZOUNZI/ 3654883"/>
    <s v="Lawyer Fees"/>
    <s v="Legal"/>
    <n v="200000"/>
    <n v="356.54279561783233"/>
    <n v="579.64599999999996"/>
    <s v="BCI"/>
    <s v="BQ-J-R8"/>
    <s v="PALF"/>
    <x v="1"/>
    <s v="Congo"/>
    <m/>
    <m/>
    <m/>
  </r>
  <r>
    <x v="146"/>
    <s v="Solde  honoraire contrat n°78 Sibiti cas BOUTSANA et KAMBOU/ Maître BANZOUZI Alain/3654882"/>
    <s v="Lawyer Fees"/>
    <s v="Legal"/>
    <n v="300000"/>
    <n v="534.81419342674849"/>
    <n v="579.64599999999996"/>
    <s v="BCI"/>
    <s v="BQ-J-R9"/>
    <s v="PALF"/>
    <x v="1"/>
    <s v="Congo"/>
    <m/>
    <m/>
    <m/>
  </r>
  <r>
    <x v="147"/>
    <s v="Achat billet Brazzaville-Dolisie/Abraham"/>
    <s v="Transport"/>
    <s v="Legal"/>
    <n v="8000"/>
    <n v="14.261711824713291"/>
    <n v="579.64599999999996"/>
    <s v="Abraham"/>
    <s v="AB-J-R8"/>
    <s v="PALF"/>
    <x v="1"/>
    <s v="Congo"/>
    <m/>
    <m/>
    <m/>
  </r>
  <r>
    <x v="147"/>
    <s v="Frais de transport mission Maitre Alain à Dolisie du 18 au 20/06/2025"/>
    <s v="Transport"/>
    <s v="Legal"/>
    <n v="29000"/>
    <n v="51.698705364585685"/>
    <n v="579.64599999999996"/>
    <s v="Abraham"/>
    <s v="CA-J-R17"/>
    <s v="PALF"/>
    <x v="1"/>
    <s v="Congo"/>
    <m/>
    <m/>
    <m/>
  </r>
  <r>
    <x v="147"/>
    <s v="Ration et frais d'hotel mission maitre Alain à Dolisie du 18 au 20/06/2025"/>
    <s v="Travel Subsistence"/>
    <s v="Legal"/>
    <n v="50000"/>
    <n v="89.135698904458081"/>
    <n v="579.64599999999996"/>
    <s v="Abraham"/>
    <s v="CA-J-R18"/>
    <s v="PALF"/>
    <x v="1"/>
    <s v="Congo"/>
    <m/>
    <m/>
    <m/>
  </r>
  <r>
    <x v="148"/>
    <s v="Cumul frais de transport local du mois de Juin 2025/Crepin"/>
    <s v="Transport"/>
    <s v="Legal"/>
    <n v="15500"/>
    <n v="27.632066660382005"/>
    <n v="579.64599999999996"/>
    <s v="Crepin"/>
    <s v="CR-J-D2"/>
    <s v="PALF"/>
    <x v="1"/>
    <s v="Congo"/>
    <m/>
    <m/>
    <m/>
  </r>
  <r>
    <x v="148"/>
    <s v="ABRAHAM - CONGO Ration du 18 au 20/06/2025 à Dolisie (02 Nuitées)"/>
    <s v="Travel Subsistence"/>
    <s v="Legal"/>
    <n v="20000"/>
    <n v="35.654279561783227"/>
    <n v="579.64599999999996"/>
    <s v="Abraham"/>
    <s v="AB-J-D2"/>
    <s v="PALF"/>
    <x v="1"/>
    <s v="Congo"/>
    <m/>
    <m/>
    <m/>
  </r>
  <r>
    <x v="149"/>
    <s v="Cumul frais de Jail visits du mois de Juin 2025/Abraham"/>
    <s v="Jail visit"/>
    <s v="Legal"/>
    <n v="34500"/>
    <n v="61.503632244076073"/>
    <n v="579.64599999999996"/>
    <s v="Abraham"/>
    <s v="AB-J-D3"/>
    <s v="PALF"/>
    <x v="1"/>
    <s v="Congo"/>
    <m/>
    <m/>
    <m/>
  </r>
  <r>
    <x v="149"/>
    <s v="Bonus media portant sur l'annonce de laudience du 19 Juin 2025 à Brazzaville et à Dolisie( Pièces presse internet, Pièces presse papier et radio)"/>
    <s v="Bonus to media officer"/>
    <s v="Media"/>
    <n v="132000"/>
    <n v="235.31824510776931"/>
    <n v="579.64599999999996"/>
    <s v="Evariste"/>
    <s v="CA-J-D14"/>
    <s v="PALF"/>
    <x v="1"/>
    <s v="Congo"/>
    <m/>
    <m/>
    <m/>
  </r>
  <r>
    <x v="150"/>
    <s v="ABRAHAM - CONGO Frais d'Hôtel (Hôtel La Gloire) du 18 au 20/06/2025 à Dolisie (02 Nuitées)"/>
    <s v="Travel Subsistence"/>
    <s v="Legal"/>
    <n v="30000"/>
    <n v="53.481419342674847"/>
    <n v="579.64599999999996"/>
    <s v="Abraham"/>
    <s v="AB-J-R9"/>
    <s v="PALF"/>
    <x v="1"/>
    <s v="Congo"/>
    <m/>
    <m/>
    <m/>
  </r>
  <r>
    <x v="150"/>
    <s v="Achat eau mineral 10 Litres/Bureau"/>
    <s v="Office Materials"/>
    <s v="Office"/>
    <n v="25000"/>
    <n v="44.567849452229041"/>
    <n v="579.64599999999996"/>
    <s v="Parfaite"/>
    <s v="CA-J-R19"/>
    <s v="PALF"/>
    <x v="1"/>
    <s v="Congo"/>
    <m/>
    <m/>
    <m/>
  </r>
  <r>
    <x v="150"/>
    <s v="Cumul frais de transport local du mois de Juin  2025/P29"/>
    <s v="Transport"/>
    <s v="Investigations"/>
    <n v="32100"/>
    <n v="57.225118696662086"/>
    <n v="579.64599999999996"/>
    <s v="P29"/>
    <s v="P29-J-D1"/>
    <s v="PALF"/>
    <x v="1"/>
    <s v="Congo"/>
    <m/>
    <m/>
    <m/>
  </r>
  <r>
    <x v="150"/>
    <s v="Cumul frais de trust builfing du mois de Juin  2025/P29"/>
    <s v="Trust Building"/>
    <s v="Investigations"/>
    <n v="8500"/>
    <n v="15.153068813757873"/>
    <n v="579.64599999999996"/>
    <s v="P29"/>
    <s v="P29-J-D2"/>
    <s v="PALF"/>
    <x v="1"/>
    <s v="Congo"/>
    <m/>
    <m/>
    <m/>
  </r>
  <r>
    <x v="150"/>
    <s v="Cumul frais de transport local du mois de Juin 2025/IT87"/>
    <s v="Transport"/>
    <s v="Investigations"/>
    <n v="50500"/>
    <n v="90.027055893502663"/>
    <n v="579.64599999999996"/>
    <s v="IT87"/>
    <s v="IT87-J-D2"/>
    <s v="PALF"/>
    <x v="1"/>
    <s v="Congo"/>
    <m/>
    <m/>
    <m/>
  </r>
  <r>
    <x v="150"/>
    <s v="Cumul frais de transport local du mois Juin 2025/G12"/>
    <s v="Transport"/>
    <s v="Investigations"/>
    <n v="29000"/>
    <n v="51.698705364585685"/>
    <n v="579.64599999999996"/>
    <s v="G12"/>
    <s v="G12-J-D1"/>
    <s v="PALF"/>
    <x v="1"/>
    <s v="Congo"/>
    <m/>
    <m/>
    <m/>
  </r>
  <r>
    <x v="150"/>
    <s v="Frais de transport mission Maitre Alain à Impfondo du 22 au 29/06/2025"/>
    <s v="Transport"/>
    <s v="Legal"/>
    <n v="82000"/>
    <n v="146.18254620331123"/>
    <n v="579.64599999999996"/>
    <s v="Donald-Romeo"/>
    <s v="CA-J-R20"/>
    <s v="PALF"/>
    <x v="1"/>
    <s v="Congo"/>
    <m/>
    <m/>
    <m/>
  </r>
  <r>
    <x v="150"/>
    <s v="Ration et frais d'hotel mission maitre Alain à Impfondo du 22 au 29/06/2025"/>
    <s v="Travel Subsistence"/>
    <s v="Legal"/>
    <n v="175000"/>
    <n v="311.97494616560328"/>
    <n v="579.64599999999996"/>
    <s v="Donald-Romeo"/>
    <s v="CA-J-R21"/>
    <s v="PALF"/>
    <x v="1"/>
    <s v="Congo"/>
    <m/>
    <m/>
    <m/>
  </r>
  <r>
    <x v="150"/>
    <s v="Cumul frais de transport local du mois de Juin 2025/ Evariste"/>
    <s v="Transport"/>
    <s v="Media"/>
    <n v="22500"/>
    <n v="40.111064507006134"/>
    <n v="579.64599999999996"/>
    <s v="Evariste"/>
    <s v="EV-J-D2"/>
    <s v="PALF"/>
    <x v="1"/>
    <s v="Congo"/>
    <m/>
    <m/>
    <m/>
  </r>
  <r>
    <x v="151"/>
    <s v="Achat billet Brazzaville-Imfondo/Donald-Roméo"/>
    <s v="Transport "/>
    <s v="Legal"/>
    <n v="33000"/>
    <n v="58.829561276942329"/>
    <n v="579.64599999999996"/>
    <s v="Donald-Romeo"/>
    <s v="DR-J-R7"/>
    <s v="PALF"/>
    <x v="1"/>
    <s v="Congo"/>
    <m/>
    <m/>
    <m/>
  </r>
  <r>
    <x v="151"/>
    <s v="Donald Roméo-CONGO Ration  du  22 au 29/06/2025 à Impfondo"/>
    <s v="Travel Subsistence"/>
    <s v="Legal"/>
    <n v="70000"/>
    <n v="124.78997846624131"/>
    <n v="579.64599999999996"/>
    <s v="Donald-Romeo"/>
    <s v="DR-J-D2"/>
    <s v="PALF"/>
    <x v="1"/>
    <s v="Congo"/>
    <m/>
    <m/>
    <m/>
  </r>
  <r>
    <x v="152"/>
    <s v="Maintenance groupe electrogène bureau PALF"/>
    <s v="Services"/>
    <s v="Office"/>
    <n v="10000"/>
    <n v="17.827139780891613"/>
    <n v="579.64599999999996"/>
    <s v="Parfaite"/>
    <s v="CA-J-R22"/>
    <s v="PALF"/>
    <x v="1"/>
    <s v="Congo"/>
    <m/>
    <m/>
    <m/>
  </r>
  <r>
    <x v="152"/>
    <s v="cumul frais de trust building du mois de Juin 2025/T73"/>
    <s v="Trust Building"/>
    <s v="Investigations"/>
    <n v="12500"/>
    <n v="22.28392472611452"/>
    <n v="579.64599999999996"/>
    <s v="T73"/>
    <s v="T73-J-D1"/>
    <s v="PALF"/>
    <x v="1"/>
    <s v="Congo"/>
    <m/>
    <m/>
    <m/>
  </r>
  <r>
    <x v="152"/>
    <s v="Donald Roméo-CONGO Frais d'hôtel du 22 au 23/06/2025 à Ouesso (  01 Nuitée)"/>
    <s v="Travel Subsistence"/>
    <s v="Legal"/>
    <n v="15000"/>
    <n v="26.740709671337424"/>
    <n v="579.64599999999996"/>
    <s v="Donald-Romeo"/>
    <s v="DR-J-R8"/>
    <s v="PALF"/>
    <x v="1"/>
    <s v="Congo"/>
    <m/>
    <m/>
    <m/>
  </r>
  <r>
    <x v="153"/>
    <s v="Cumul frais de transport local du mois de Juin 2025/T73"/>
    <s v="Transport"/>
    <s v="Investigations"/>
    <n v="61800"/>
    <n v="110.17172384591018"/>
    <n v="579.64599999999996"/>
    <s v="T73"/>
    <s v="T73-J-D2"/>
    <s v="PALF"/>
    <x v="1"/>
    <s v="Congo"/>
    <m/>
    <m/>
    <m/>
  </r>
  <r>
    <x v="153"/>
    <s v="Frais de tansfert d'argent à Donald roméo"/>
    <s v="Transfer Fees"/>
    <s v="Office"/>
    <n v="2000"/>
    <n v="3.5654279561783229"/>
    <n v="579.64599999999996"/>
    <s v="Abraham"/>
    <s v="CA-J-R25"/>
    <s v="PALF"/>
    <x v="1"/>
    <s v="Congo"/>
    <m/>
    <m/>
    <m/>
  </r>
  <r>
    <x v="153"/>
    <s v="Achat billet Brazzaville-Owando"/>
    <s v="Transport"/>
    <s v="Legal"/>
    <n v="7000"/>
    <n v="12.47899784662413"/>
    <n v="579.64599999999996"/>
    <s v="Roderlin"/>
    <s v="RO-J-R9"/>
    <s v="PALF"/>
    <x v="1"/>
    <s v="Congo"/>
    <m/>
    <m/>
    <m/>
  </r>
  <r>
    <x v="153"/>
    <s v="Frais de transport mission Maitre Hélene  du 25 au 27/06/2025 à Owando"/>
    <s v="Transport"/>
    <s v="Legal"/>
    <n v="20000"/>
    <n v="35.654279561783227"/>
    <n v="579.64599999999996"/>
    <s v="Roderlin"/>
    <s v="CA-J-R23"/>
    <s v="PALF"/>
    <x v="1"/>
    <s v="Congo"/>
    <m/>
    <m/>
    <m/>
  </r>
  <r>
    <x v="153"/>
    <s v="Ration et frais d'hotel mission maitre Hélène  du 25 au 27/06/2025 à Owando"/>
    <s v="Travel Subsistence"/>
    <s v="Legal"/>
    <n v="50000"/>
    <n v="89.135698904458081"/>
    <n v="579.64599999999996"/>
    <s v="Roderlin"/>
    <s v="CA-J-R24"/>
    <s v="PALF"/>
    <x v="1"/>
    <s v="Congo"/>
    <m/>
    <m/>
    <m/>
  </r>
  <r>
    <x v="153"/>
    <s v="Donald Roméo-CONGO Frais d'hôtedu 23 au 24/06/2025 à Enyele (  01 Nuitée)"/>
    <s v="Travel Subsistence"/>
    <s v="Legal"/>
    <n v="15000"/>
    <n v="26.740709671337424"/>
    <n v="579.64599999999996"/>
    <s v="Donald-Romeo"/>
    <s v="DR-J-R9"/>
    <s v="PALF"/>
    <x v="1"/>
    <s v="Congo"/>
    <m/>
    <m/>
    <m/>
  </r>
  <r>
    <x v="153"/>
    <s v="Acompte honoraire contrat N°60_Brazzaville cas NZETSI BIMOKO et Consorts/Maitre Marie Hélène NANITELAMIO MALONGA/ 3654884"/>
    <s v="Lawyer Fees"/>
    <s v="Legal"/>
    <n v="300000"/>
    <n v="534.81419342674849"/>
    <n v="579.64599999999996"/>
    <s v="BCI"/>
    <s v="BQ-J-R10"/>
    <s v="PALF"/>
    <x v="1"/>
    <s v="Congo"/>
    <m/>
    <m/>
    <m/>
  </r>
  <r>
    <x v="154"/>
    <s v="RODERLIN-CONGO Ration du 24 au 26/06/2025 à Owando (02 nuitées)"/>
    <s v="Travel Subsistence"/>
    <s v="Legal"/>
    <n v="20000"/>
    <n v="35.654279561783227"/>
    <n v="579.64599999999996"/>
    <s v="Roderlin"/>
    <s v="RO-J-D3"/>
    <s v="PALF"/>
    <x v="1"/>
    <s v="Congo"/>
    <m/>
    <m/>
    <m/>
  </r>
  <r>
    <x v="155"/>
    <s v="cumul frais de Jail visits du mois de Juin 2025/Roderlin"/>
    <s v="Jail visit"/>
    <s v="Legal"/>
    <n v="21000"/>
    <n v="37.43699353987239"/>
    <n v="579.64599999999996"/>
    <s v="Roderlin"/>
    <s v="RO-J-D4"/>
    <s v="PALF"/>
    <x v="1"/>
    <s v="Congo"/>
    <m/>
    <m/>
    <m/>
  </r>
  <r>
    <x v="155"/>
    <s v="Cumul frais de Jail visits du mois de Juin 2025/Donald-Romeo"/>
    <s v="Jail visit"/>
    <s v="Legal"/>
    <n v="40500"/>
    <n v="72.199916112611035"/>
    <n v="579.64599999999996"/>
    <s v="Donald-Romeo"/>
    <s v="DR-J-D3"/>
    <s v="PALF"/>
    <x v="1"/>
    <s v="Congo"/>
    <m/>
    <m/>
    <m/>
  </r>
  <r>
    <x v="156"/>
    <s v="Achat billet Owando- Brazzaville "/>
    <s v="Transport"/>
    <s v="Legal"/>
    <n v="7000"/>
    <n v="12.47899784662413"/>
    <n v="579.64599999999996"/>
    <s v="Roderlin"/>
    <s v="RO-J-R10"/>
    <s v="PALF"/>
    <x v="1"/>
    <s v="Congo"/>
    <m/>
    <m/>
    <m/>
  </r>
  <r>
    <x v="156"/>
    <s v="Achat billet Imfondo-Brazzaville"/>
    <s v="Transport "/>
    <s v="Legal"/>
    <n v="33000"/>
    <n v="58.829561276942329"/>
    <n v="579.64599999999996"/>
    <s v="Donald-Romeo"/>
    <s v="DR-J-R10"/>
    <s v="PALF"/>
    <x v="1"/>
    <s v="Congo"/>
    <m/>
    <m/>
    <m/>
  </r>
  <r>
    <x v="156"/>
    <s v="Frais de ramassage Ordure Juin 2025"/>
    <s v="Rent &amp; Utilities"/>
    <s v="Office"/>
    <n v="8000"/>
    <n v="14.261711824713291"/>
    <n v="579.64599999999996"/>
    <s v="Parfaite"/>
    <s v="CA-J-R26"/>
    <s v="PALF"/>
    <x v="1"/>
    <s v="Congo"/>
    <m/>
    <m/>
    <m/>
  </r>
  <r>
    <x v="156"/>
    <s v="Reglement prestation de nettoyage  PALF du mois de Juin 2025"/>
    <s v="Services"/>
    <s v="Office"/>
    <n v="75625"/>
    <n v="134.81774459299285"/>
    <n v="579.64599999999996"/>
    <s v="Parfaite"/>
    <s v="CA-J-R27"/>
    <s v="PALF"/>
    <x v="1"/>
    <s v="Congo"/>
    <m/>
    <m/>
    <m/>
  </r>
  <r>
    <x v="156"/>
    <s v="RODERLIN-CONGO Frais d'hôtel du 25 au 27/06/2025 à Owando (02 nuitées)"/>
    <s v="Travel Subsistence"/>
    <s v="Legal"/>
    <n v="30000"/>
    <n v="53.481419342674847"/>
    <n v="579.64599999999996"/>
    <s v="Roderlin"/>
    <s v="RO-J-R11"/>
    <s v="PALF"/>
    <x v="1"/>
    <s v="Congo"/>
    <m/>
    <m/>
    <m/>
  </r>
  <r>
    <x v="156"/>
    <s v="Donald Roméo-CONGO Frais d'hôtel du 24 au 27/06/2025 à Impfondo ( 03 Nuitées )"/>
    <s v="Travel Subsistence"/>
    <s v="Legal"/>
    <n v="45000"/>
    <n v="80.222129014012268"/>
    <n v="579.64599999999996"/>
    <s v="Donald-Romeo"/>
    <s v="DR-J-R11"/>
    <s v="PALF"/>
    <x v="1"/>
    <s v="Congo"/>
    <m/>
    <m/>
    <m/>
  </r>
  <r>
    <x v="157"/>
    <s v="Donald Roméo- CONGO Frais d'hôtel du 27 au 28/06/2025 à Enyele (01 Nuitée)"/>
    <s v="Travel Subsistence"/>
    <s v="Legal"/>
    <n v="15000"/>
    <n v="26.740709671337424"/>
    <n v="579.64599999999996"/>
    <s v="Donald-Romeo"/>
    <s v="DR-J-R12"/>
    <s v="PALF"/>
    <x v="1"/>
    <s v="Congo"/>
    <m/>
    <m/>
    <m/>
  </r>
  <r>
    <x v="158"/>
    <s v="Donald Roméo-CONGO Frais d'hôtel du 28 au 29/06/2025 à Oyo ( 01 Nuitée)"/>
    <s v="Travel Subsistence"/>
    <s v="Legal"/>
    <n v="15000"/>
    <n v="26.740709671337424"/>
    <n v="579.64599999999996"/>
    <s v="Donald-Romeo"/>
    <s v="DR-J-R13"/>
    <s v="PALF"/>
    <x v="1"/>
    <s v="Congo"/>
    <m/>
    <m/>
    <m/>
  </r>
  <r>
    <x v="158"/>
    <s v="Cumul frais de transport local du mois de Juin 2025/Donald-Romeo"/>
    <s v="Transport "/>
    <s v="Legal"/>
    <n v="39000"/>
    <n v="69.525845145477305"/>
    <n v="579.64599999999996"/>
    <s v="Donald-Romeo"/>
    <s v="DR-J-D4"/>
    <s v="PALF"/>
    <x v="1"/>
    <s v="Congo"/>
    <m/>
    <m/>
    <m/>
  </r>
  <r>
    <x v="159"/>
    <s v="Cumul frais de transport local du mois de Juin 2025/DOVI"/>
    <s v="Transport"/>
    <s v="Management"/>
    <n v="49000"/>
    <n v="87.352984926368919"/>
    <n v="579.64599999999996"/>
    <s v="DOVI"/>
    <s v="DH-J-D1"/>
    <s v="PALF"/>
    <x v="1"/>
    <s v="Congo"/>
    <m/>
    <m/>
    <m/>
  </r>
  <r>
    <x v="159"/>
    <s v="Maintenance groupe electrogène bureau PALF"/>
    <s v="Services"/>
    <s v="Office"/>
    <n v="50000"/>
    <n v="89.135698904458081"/>
    <n v="579.64599999999996"/>
    <s v="Parfaite"/>
    <s v="CA-J-R28"/>
    <s v="PALF"/>
    <x v="1"/>
    <s v="Congo"/>
    <m/>
    <m/>
    <m/>
  </r>
  <r>
    <x v="159"/>
    <s v="Reglement facture internet periode du 01/07 au 31/07/2025 bureau PALF"/>
    <s v="Internet"/>
    <s v="Office"/>
    <n v="45050"/>
    <n v="80.311264712916724"/>
    <n v="579.64599999999996"/>
    <s v="Parfaite"/>
    <s v="CA-J-R29"/>
    <s v="PALF"/>
    <x v="1"/>
    <s v="Congo"/>
    <m/>
    <m/>
    <m/>
  </r>
  <r>
    <x v="159"/>
    <s v="Cumul frais de transport local du mois de Juin 2025/Parfaite"/>
    <s v="Transport"/>
    <s v="Office"/>
    <n v="26000"/>
    <n v="46.350563430318196"/>
    <n v="579.64599999999996"/>
    <s v="Parfaite"/>
    <s v="P-J-D1"/>
    <s v="PALF"/>
    <x v="1"/>
    <s v="Congo"/>
    <m/>
    <m/>
    <m/>
  </r>
  <r>
    <x v="159"/>
    <s v="Cumul frais de transport local du mois de Juin 2025/ Abraham"/>
    <s v="Transport"/>
    <s v="Legal"/>
    <n v="45700"/>
    <n v="81.470028798674676"/>
    <n v="579.64599999999996"/>
    <s v="Abraham"/>
    <s v="AB-J-D4"/>
    <s v="PALF"/>
    <x v="1"/>
    <s v="Congo"/>
    <m/>
    <m/>
    <m/>
  </r>
  <r>
    <x v="159"/>
    <s v="Cumul frais de transport local du mois de Juin 2025/Roderlin"/>
    <s v="Transport"/>
    <s v="Legal"/>
    <n v="53000"/>
    <n v="94.483840838725555"/>
    <n v="579.64599999999996"/>
    <s v="Roderlin"/>
    <s v="RO-J-D5"/>
    <s v="PALF"/>
    <x v="1"/>
    <s v="Congo"/>
    <m/>
    <m/>
    <m/>
  </r>
  <r>
    <x v="160"/>
    <s v="Maison-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0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1"/>
    <s v="Maison-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1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1"/>
    <s v="Taxi:  Bureau-Banque BCI/ Retrait relevé de compte bancaire du mois de Juin 2025"/>
    <s v="Transport"/>
    <s v="Office"/>
    <n v="1000"/>
    <n v="1.7827139780891614"/>
    <n v="560.94248000000005"/>
    <s v="Parfaite"/>
    <s v="P-JU-D1"/>
    <s v="PALF"/>
    <x v="5"/>
    <s v="Congo"/>
    <m/>
    <m/>
    <m/>
  </r>
  <r>
    <x v="161"/>
    <s v="Taxi:  Banque BCI - Bureau/ Retrait relevé de compte bancaire du mois de Juin 2025"/>
    <s v="Transport"/>
    <s v="Office"/>
    <n v="1000"/>
    <n v="1.7827139780891614"/>
    <n v="560.94248000000005"/>
    <s v="Parfaite"/>
    <s v="P-JU-D1"/>
    <s v="PALF"/>
    <x v="5"/>
    <s v="Congo"/>
    <m/>
    <m/>
    <m/>
  </r>
  <r>
    <x v="161"/>
    <s v=" Frais de prestation de nettoyage du jardin PALF/ Juin 2025"/>
    <s v="Services"/>
    <s v="Office"/>
    <n v="20000"/>
    <n v="35.654279561783227"/>
    <n v="560.94248000000005"/>
    <s v="Parfaite"/>
    <s v="CA-JU-R1"/>
    <s v="PALF"/>
    <x v="5"/>
    <s v="Congo"/>
    <m/>
    <m/>
    <m/>
  </r>
  <r>
    <x v="162"/>
    <s v="Maison-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2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2"/>
    <s v="Taxi:  Bureau- Société de gardiennage/remis de chèque du mois de Juin 2025"/>
    <s v="Transport"/>
    <s v="Office"/>
    <n v="1000"/>
    <n v="1.7827139780891614"/>
    <n v="560.94248000000005"/>
    <s v="Parfaite"/>
    <s v="P-JU-D1"/>
    <s v="PALF"/>
    <x v="5"/>
    <s v="Congo"/>
    <m/>
    <m/>
    <m/>
  </r>
  <r>
    <x v="162"/>
    <s v="Taxi:  Societé de gardiennage  - Bureau/remis de chèque du mois de Juin 2025"/>
    <s v="Transport"/>
    <s v="Office"/>
    <n v="1000"/>
    <n v="1.7827139780891614"/>
    <n v="560.94248000000005"/>
    <s v="Parfaite"/>
    <s v="P-JU-D1"/>
    <s v="PALF"/>
    <x v="5"/>
    <s v="Congo"/>
    <m/>
    <m/>
    <m/>
  </r>
  <r>
    <x v="162"/>
    <s v="Taxi:Bureau-Centre ville pour la rencontrer maître Hélene"/>
    <s v="Transport"/>
    <s v="Legal"/>
    <n v="1000"/>
    <n v="1.7827139780891614"/>
    <n v="560.94248000000005"/>
    <s v="Roderlin"/>
    <s v="RO-JU-D1"/>
    <s v="PALF"/>
    <x v="5"/>
    <s v="Congo"/>
    <m/>
    <m/>
    <m/>
  </r>
  <r>
    <x v="162"/>
    <s v="Taxi:Centre ville-Bureau"/>
    <s v="Transport"/>
    <s v="Legal"/>
    <n v="1000"/>
    <n v="1.7827139780891614"/>
    <n v="560.94248000000005"/>
    <s v="Roderlin"/>
    <s v="RO-JU-D1"/>
    <s v="PALF"/>
    <x v="5"/>
    <s v="Congo"/>
    <m/>
    <m/>
    <m/>
  </r>
  <r>
    <x v="162"/>
    <s v="Taxi:Bureau-Cabinet BANZOUZI pour la rémise du chèque "/>
    <s v="Transport"/>
    <s v="Legal"/>
    <n v="1000"/>
    <n v="1.7827139780891614"/>
    <n v="560.94248000000005"/>
    <s v="Roderlin"/>
    <s v="RO-JU-D1"/>
    <s v="PALF"/>
    <x v="5"/>
    <s v="Congo"/>
    <m/>
    <m/>
    <m/>
  </r>
  <r>
    <x v="162"/>
    <s v="Taxi:Cabinet BANZOUZI-Domicile"/>
    <s v="Transport"/>
    <s v="Legal"/>
    <n v="1000"/>
    <n v="1.7827139780891614"/>
    <n v="560.94248000000005"/>
    <s v="Roderlin"/>
    <s v="RO-JU-D1"/>
    <s v="PALF"/>
    <x v="5"/>
    <s v="Congo"/>
    <m/>
    <m/>
    <m/>
  </r>
  <r>
    <x v="162"/>
    <s v="Solde  honoraire contrat n°84 Impfondo cas MBEKELE ET CONSORTS/ Maître BANZOUZI Alain/3654886"/>
    <s v="Lawyer Fees"/>
    <s v="Legal"/>
    <n v="300000"/>
    <n v="534.81419342674849"/>
    <n v="560.94248000000005"/>
    <s v="BCI"/>
    <s v="BQ-JU-R1"/>
    <s v="PALF"/>
    <x v="5"/>
    <s v="Congo"/>
    <m/>
    <m/>
    <m/>
  </r>
  <r>
    <x v="162"/>
    <s v="Solde honoraire contrat N°49_Brazzaville cas BIHONDA Jean-LeBOUCK/Maitre Marie Hélène NANITELAMIO MALONGA/ 3654887"/>
    <s v="Lawyer Fees"/>
    <s v="Legal"/>
    <n v="300000"/>
    <n v="534.81419342674849"/>
    <n v="560.94248000000005"/>
    <s v="BCI"/>
    <s v="BQ-JU-R2"/>
    <s v="PALF"/>
    <x v="5"/>
    <s v="Congo"/>
    <m/>
    <m/>
    <m/>
  </r>
  <r>
    <x v="162"/>
    <s v="Reglement Facture Gardiennage Mois de Juin 2025/3654888"/>
    <s v="Services"/>
    <s v="Office"/>
    <n v="260000"/>
    <n v="463.50563430318198"/>
    <n v="560.94248000000005"/>
    <s v="BCI"/>
    <s v="BQ-JU-R3"/>
    <s v="PALF"/>
    <x v="5"/>
    <s v="Congo"/>
    <m/>
    <m/>
    <m/>
  </r>
  <r>
    <x v="163"/>
    <s v="Maison-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3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4"/>
    <s v="Maison-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4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5"/>
    <s v="Maison-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5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6"/>
    <s v="Maison-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6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7"/>
    <s v="Règlement loyer Juin 2025/Coordinateur"/>
    <s v="Personnel"/>
    <s v="Management"/>
    <n v="174625"/>
    <n v="311.30642842381985"/>
    <n v="560.94248000000005"/>
    <s v="DOVI"/>
    <s v="DH-JU-R1"/>
    <s v="PALF"/>
    <x v="5"/>
    <s v="Congo"/>
    <m/>
    <m/>
    <m/>
  </r>
  <r>
    <x v="167"/>
    <s v="Maison- 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7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7"/>
    <s v="Achat eau mineral 10 Petite bouteille 0,6L/Bureau"/>
    <s v="Office Materiels"/>
    <s v="Office"/>
    <n v="2000"/>
    <n v="3.5654279561783229"/>
    <n v="560.94248000000005"/>
    <s v="Roderlin"/>
    <s v="CA-JU-R2"/>
    <s v="PALF"/>
    <x v="5"/>
    <s v="Congo"/>
    <m/>
    <m/>
    <m/>
  </r>
  <r>
    <x v="168"/>
    <s v="Maison-Cabinet d'huissier"/>
    <s v="Transport"/>
    <s v="Management"/>
    <n v="1000"/>
    <n v="1.7827139780891614"/>
    <n v="560.94248000000005"/>
    <s v="DOVI"/>
    <s v="DH-JU-D1"/>
    <s v="PALF"/>
    <x v="5"/>
    <s v="Congo"/>
    <m/>
    <m/>
    <m/>
  </r>
  <r>
    <x v="168"/>
    <s v="Cabinet - 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8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8"/>
    <s v="Taxi: Domicile-Bureau pour signature des pièces comptables/crépin"/>
    <s v="Transport"/>
    <s v="Legal"/>
    <n v="1000"/>
    <n v="1.7827139780891614"/>
    <n v="560.94248000000005"/>
    <s v="Crépin"/>
    <s v="CR-JU-D1"/>
    <s v="PALF"/>
    <x v="5"/>
    <s v="Congo"/>
    <m/>
    <m/>
    <m/>
  </r>
  <r>
    <x v="168"/>
    <s v="Taxi: Bureau-Domicile/crépin"/>
    <s v="Transport"/>
    <s v="Legal"/>
    <n v="1000"/>
    <n v="1.7827139780891614"/>
    <n v="560.94248000000005"/>
    <s v="Crépin"/>
    <s v="CR-JU-D1"/>
    <s v="PALF"/>
    <x v="5"/>
    <s v="Congo"/>
    <m/>
    <m/>
    <m/>
  </r>
  <r>
    <x v="169"/>
    <s v="Maison-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69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69"/>
    <s v="Remboursement frais de certificat d'Hébergement(Valentina et Martina) du 27/06/2025"/>
    <s v="Travel Expenses"/>
    <s v="Investigation"/>
    <n v="-60000"/>
    <n v="-106.96283868534969"/>
    <n v="560.94248000000005"/>
    <s v="Parfaite"/>
    <s v="CA-JU-D1"/>
    <s v="PALF"/>
    <x v="5"/>
    <s v="Congo"/>
    <m/>
    <m/>
    <m/>
  </r>
  <r>
    <x v="170"/>
    <s v="Maison-Bureau"/>
    <s v="Transport"/>
    <s v="Management"/>
    <n v="1000"/>
    <n v="1.7827139780891614"/>
    <n v="560.94248000000005"/>
    <s v="DOVI"/>
    <s v="DH-JU-D1"/>
    <s v="PALF"/>
    <x v="5"/>
    <s v="Congo"/>
    <m/>
    <m/>
    <m/>
  </r>
  <r>
    <x v="170"/>
    <s v="Bureau-Maison"/>
    <s v="Transport"/>
    <s v="Management"/>
    <n v="1000"/>
    <n v="1.7827139780891614"/>
    <n v="560.94248000000005"/>
    <s v="DOVI"/>
    <s v="DH-JU-D1"/>
    <s v="PALF"/>
    <x v="5"/>
    <s v="Congo"/>
    <m/>
    <m/>
    <m/>
  </r>
  <r>
    <x v="170"/>
    <s v="Taxi: Domicile-Bureau pour la signature des chèques des salaires/crépin"/>
    <s v="Transport"/>
    <s v="Legal"/>
    <n v="1000"/>
    <n v="1.7827139780891614"/>
    <n v="560.94248000000005"/>
    <s v="Crépin"/>
    <s v="CR-JU-D1"/>
    <s v="PALF"/>
    <x v="5"/>
    <s v="Congo"/>
    <m/>
    <m/>
    <m/>
  </r>
  <r>
    <x v="170"/>
    <s v="Taxi: Bureau-Domicile/crépin"/>
    <s v="Transport"/>
    <s v="Legal"/>
    <n v="1000"/>
    <n v="1.7827139780891614"/>
    <n v="560.94248000000005"/>
    <s v="Crépin"/>
    <s v="CR-JU-D1"/>
    <s v="PALF"/>
    <x v="5"/>
    <s v="Congo"/>
    <m/>
    <m/>
    <m/>
  </r>
  <r>
    <x v="170"/>
    <s v="Taxi:  Domicile-Banque BCI/ Vérification des fonds dans le compte "/>
    <s v="Transport"/>
    <s v="Office"/>
    <n v="1000"/>
    <n v="1.7827139780891614"/>
    <n v="560.94248000000005"/>
    <s v="Parfaite"/>
    <s v="P-JU-D1"/>
    <s v="PALF"/>
    <x v="5"/>
    <s v="Congo"/>
    <m/>
    <m/>
    <m/>
  </r>
  <r>
    <x v="170"/>
    <s v="Taxi:  Banque BCI - Bureau/  Vérification des fonds dans le compte "/>
    <s v="Transport"/>
    <s v="Office"/>
    <n v="1000"/>
    <n v="1.7827139780891614"/>
    <n v="560.94248000000005"/>
    <s v="Parfaite"/>
    <s v="P-JU-D1"/>
    <s v="PALF"/>
    <x v="5"/>
    <s v="Congo"/>
    <m/>
    <m/>
    <m/>
  </r>
  <r>
    <x v="170"/>
    <s v="Taxi:  Bureau-Banque BCI/ Dépôt ordre de virement salaire du mois de Juin 2025"/>
    <s v="Transport"/>
    <s v="Office"/>
    <n v="1000"/>
    <n v="1.7827139780891614"/>
    <n v="560.94248000000005"/>
    <s v="Parfaite"/>
    <s v="P-JU-D1"/>
    <s v="PALF"/>
    <x v="5"/>
    <s v="Congo"/>
    <m/>
    <m/>
    <m/>
  </r>
  <r>
    <x v="170"/>
    <s v="Taxi:  Banque BCI - Bureau/ Dépôt ordre de virement salaire du mois de Juin 2025"/>
    <s v="Transport"/>
    <s v="Office"/>
    <n v="1000"/>
    <n v="1.7827139780891614"/>
    <n v="560.94248000000005"/>
    <s v="Parfaite"/>
    <s v="P-JU-D1"/>
    <s v="PALF"/>
    <x v="5"/>
    <s v="Congo"/>
    <m/>
    <m/>
    <m/>
  </r>
  <r>
    <x v="170"/>
    <s v="Reglement loyer du mois de Juin 2025/3654885"/>
    <s v="Rent &amp; Utilities"/>
    <s v="Office"/>
    <n v="500000"/>
    <n v="891.3569890445807"/>
    <n v="560.94248000000005"/>
    <s v="BCI"/>
    <s v="BQ-JU-R4"/>
    <s v="PALF"/>
    <x v="5"/>
    <s v="Congo"/>
    <m/>
    <m/>
    <m/>
  </r>
  <r>
    <x v="170"/>
    <s v="RAPATRIEME01100 RAO00010859/OAT"/>
    <s v="Grant"/>
    <m/>
    <m/>
    <m/>
    <n v="534.23810000000003"/>
    <s v="BCI"/>
    <s v="BQ-JU-G1"/>
    <s v="PALF"/>
    <x v="3"/>
    <s v="Congo"/>
    <n v="5342381"/>
    <n v="10000"/>
    <m/>
  </r>
  <r>
    <x v="170"/>
    <s v="Reglement honoraire du mois de de Juin 2025/P29/36548890"/>
    <s v="Personnel"/>
    <s v="Investigation"/>
    <n v="400000"/>
    <n v="748.72982664471135"/>
    <n v="534.23810000000003"/>
    <s v="BCI"/>
    <s v="BQ-JU-R5"/>
    <s v="PALF"/>
    <x v="3"/>
    <s v="Congo"/>
    <m/>
    <m/>
    <m/>
  </r>
  <r>
    <x v="170"/>
    <s v="Reglement honoraire du mois de Juin 2025/T73/3654892"/>
    <s v="Personnel"/>
    <s v="Investigation"/>
    <n v="255000"/>
    <n v="477.31526448600351"/>
    <n v="534.23810000000003"/>
    <s v="BCI"/>
    <s v="BQ-JU-R6"/>
    <s v="PALF"/>
    <x v="3"/>
    <s v="Congo"/>
    <m/>
    <m/>
    <m/>
  </r>
  <r>
    <x v="170"/>
    <s v="Reglement honoraire du mois de Juin 2025/IT87/3654895"/>
    <s v="Personnel"/>
    <s v="Investigation"/>
    <n v="255000"/>
    <n v="477.31526448600351"/>
    <n v="534.23810000000003"/>
    <s v="BCI"/>
    <s v="BQ-JU-R7"/>
    <s v="PALF"/>
    <x v="3"/>
    <s v="Congo"/>
    <m/>
    <m/>
    <m/>
  </r>
  <r>
    <x v="170"/>
    <s v="Reglement honoraire du mois de Juin 2025/G12/3654894"/>
    <s v="Personnel"/>
    <s v="Investigation"/>
    <n v="255000"/>
    <n v="477.31526448600351"/>
    <n v="534.23810000000003"/>
    <s v="BCI"/>
    <s v="BQ-JU-R8"/>
    <s v="PALF"/>
    <x v="3"/>
    <s v="Congo"/>
    <m/>
    <m/>
    <m/>
  </r>
  <r>
    <x v="170"/>
    <s v="Paiement salaire du mois de Juin 2025/BAVOUMINA NZOUSSI Dina Parfaite/365897"/>
    <s v="Personnel"/>
    <s v="Office"/>
    <n v="230000"/>
    <n v="430.51965032070905"/>
    <n v="534.23810000000003"/>
    <s v="BCI"/>
    <s v="BQ-JU-R9"/>
    <s v="PALF"/>
    <x v="3"/>
    <s v="Congo"/>
    <m/>
    <m/>
    <m/>
  </r>
  <r>
    <x v="170"/>
    <s v="Paiement salaire du mois de Juin 2025/BOUNGOU MAKOSSO Abraham/3654896"/>
    <s v="Personnel"/>
    <s v="Legal"/>
    <n v="200000"/>
    <n v="374.36491332235568"/>
    <n v="534.23810000000003"/>
    <s v="BCI"/>
    <s v="BQ-JU-R10"/>
    <s v="PALF"/>
    <x v="3"/>
    <s v="Congo"/>
    <m/>
    <m/>
    <m/>
  </r>
  <r>
    <x v="170"/>
    <s v="Paiement salaire du mois de Juin 2025/Crepin IBOUILI-IBOUILI"/>
    <s v="Personnel"/>
    <s v="Legal"/>
    <n v="551482"/>
    <n v="1032.2775556441968"/>
    <n v="534.23810000000003"/>
    <s v="BCI"/>
    <s v="BQ-JU-R11"/>
    <s v="PALF"/>
    <x v="3"/>
    <s v="Congo"/>
    <m/>
    <m/>
    <m/>
  </r>
  <r>
    <x v="170"/>
    <s v="Paiement salaire du mois de Juin 2025/PINDI BINGA Donald- Roméo"/>
    <s v="Personnel"/>
    <s v="Legal"/>
    <n v="300000"/>
    <n v="561.54736998353349"/>
    <n v="534.23810000000003"/>
    <s v="BCI"/>
    <s v="BQ-JU-R12"/>
    <s v="PALF"/>
    <x v="3"/>
    <s v="Congo"/>
    <m/>
    <m/>
    <m/>
  </r>
  <r>
    <x v="170"/>
    <s v="Paiement salaire du mois de  Juin 2025/Evariste LELOUSSI"/>
    <s v="Personnel"/>
    <s v="Media"/>
    <n v="238140"/>
    <n v="445.75630229292892"/>
    <n v="534.23810000000003"/>
    <s v="BCI"/>
    <s v="BQ-JU-R13"/>
    <s v="PALF"/>
    <x v="3"/>
    <s v="Congo"/>
    <m/>
    <m/>
    <m/>
  </r>
  <r>
    <x v="170"/>
    <s v="Paiement salaire du  01 au 18 Juin 2025/Homéfa DOVI/3654898"/>
    <s v="Personnel"/>
    <s v="Management"/>
    <n v="786600"/>
    <n v="1472.3772040968249"/>
    <n v="534.23810000000003"/>
    <s v="BCI"/>
    <s v="BQ-JU-R14"/>
    <s v="PALF"/>
    <x v="3"/>
    <s v="Congo"/>
    <m/>
    <m/>
    <m/>
  </r>
  <r>
    <x v="170"/>
    <s v="Paiement salaire du 19 au 30 Juin 2025/Homéfa DOVI/3654898"/>
    <s v="Personnel"/>
    <s v="Management"/>
    <n v="524400"/>
    <n v="981.58480273121666"/>
    <n v="534.23810000000003"/>
    <s v="BCI"/>
    <s v="BQ-JU-R15"/>
    <s v="PALF"/>
    <x v="3"/>
    <s v="Congo"/>
    <m/>
    <m/>
    <m/>
  </r>
  <r>
    <x v="170"/>
    <s v="Frais de virement des salaire du mois Juin 2025"/>
    <s v="Bank fees"/>
    <s v="Office"/>
    <n v="10665"/>
    <n v="19.963009002914617"/>
    <n v="534.23810000000003"/>
    <s v="BCI"/>
    <s v="BQ-JU-R16"/>
    <s v="PALF"/>
    <x v="3"/>
    <s v="Congo"/>
    <m/>
    <m/>
    <m/>
  </r>
  <r>
    <x v="171"/>
    <s v="Maison-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1"/>
    <s v="Bureau-Maison"/>
    <s v="Transport"/>
    <s v="Management"/>
    <n v="1000"/>
    <n v="1.8718245666117783"/>
    <n v="534.23810000000003"/>
    <s v="DOVI"/>
    <s v="DH-JU-D1"/>
    <s v="PALF"/>
    <x v="3"/>
    <s v="Congo"/>
    <m/>
    <m/>
    <m/>
  </r>
  <r>
    <x v="171"/>
    <s v="Paiement salaire du mois de Juin 2025/FOUMBA Roderlin/3654900"/>
    <s v="Personnel"/>
    <s v="Legal"/>
    <n v="200000"/>
    <n v="374.36491332235568"/>
    <n v="534.23810000000003"/>
    <s v="BCI"/>
    <s v="BQ-JU-R17"/>
    <s v="PALF"/>
    <x v="3"/>
    <s v="Congo"/>
    <m/>
    <m/>
    <m/>
  </r>
  <r>
    <x v="172"/>
    <s v="Maison- Cabinet d'huissier"/>
    <s v="Transport"/>
    <s v="Management"/>
    <n v="1000"/>
    <n v="1.8718245666117783"/>
    <n v="534.23810000000003"/>
    <s v="DOVI"/>
    <s v="DH-JU-D1"/>
    <s v="PALF"/>
    <x v="3"/>
    <s v="Congo"/>
    <m/>
    <m/>
    <m/>
  </r>
  <r>
    <x v="172"/>
    <s v="Cabinet - 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2"/>
    <s v="Bureau-Maison"/>
    <s v="Transport"/>
    <s v="Management"/>
    <n v="1000"/>
    <n v="1.8718245666117783"/>
    <n v="534.23810000000003"/>
    <s v="DOVI"/>
    <s v="DH-JU-D1"/>
    <s v="PALF"/>
    <x v="3"/>
    <s v="Congo"/>
    <m/>
    <m/>
    <m/>
  </r>
  <r>
    <x v="172"/>
    <s v="Taxi:  Bureau-Banque BCI"/>
    <s v="Transport"/>
    <s v="Office"/>
    <n v="1000"/>
    <n v="1.8718245666117783"/>
    <n v="534.23810000000003"/>
    <s v="Parfaite"/>
    <s v="P-JU-D1"/>
    <s v="PALF"/>
    <x v="3"/>
    <s v="Congo"/>
    <m/>
    <m/>
    <m/>
  </r>
  <r>
    <x v="172"/>
    <s v="Taxi:  Banque BCI - CNSS/Paiement CNSS deuxième  trimestre de l'année 2025"/>
    <s v="Transport"/>
    <s v="Office"/>
    <n v="1000"/>
    <n v="1.8718245666117783"/>
    <n v="534.23810000000003"/>
    <s v="Parfaite"/>
    <s v="P-JU-D1"/>
    <s v="PALF"/>
    <x v="3"/>
    <s v="Congo"/>
    <m/>
    <m/>
    <m/>
  </r>
  <r>
    <x v="172"/>
    <s v="Taxi: CNSS-Bureau"/>
    <s v="Transport"/>
    <s v="Office"/>
    <n v="1000"/>
    <n v="1.8718245666117783"/>
    <n v="534.23810000000003"/>
    <s v="Parfaite"/>
    <s v="P-JU-D1"/>
    <s v="PALF"/>
    <x v="3"/>
    <s v="Congo"/>
    <m/>
    <m/>
    <m/>
  </r>
  <r>
    <x v="172"/>
    <s v="Paiement CNSS deuxième trimestre/Avril, Mai et Juin 2025/Crepin /3654899"/>
    <s v="Personnel"/>
    <s v="Legal"/>
    <n v="368700"/>
    <n v="690.1417177097627"/>
    <n v="534.23810000000003"/>
    <s v="BCI"/>
    <s v="BQ-JU-R18"/>
    <s v="PALF"/>
    <x v="3"/>
    <s v="Congo"/>
    <m/>
    <m/>
    <m/>
  </r>
  <r>
    <x v="172"/>
    <s v="Paiement CNSS deuxième trimestre/Avril, Mai et Juin 2025/Donald-Roméo/3654899"/>
    <s v="Personnel"/>
    <s v="Legal"/>
    <n v="177789"/>
    <n v="332.78981787334146"/>
    <n v="534.23810000000003"/>
    <s v="BCI"/>
    <s v="BQ-JU-R19"/>
    <s v="PALF"/>
    <x v="3"/>
    <s v="Congo"/>
    <m/>
    <m/>
    <m/>
  </r>
  <r>
    <x v="172"/>
    <s v="Paiement CNSS deuxième trimestre/Avril, Mai et Juin 2025/Romain/3654899"/>
    <s v="Personnel"/>
    <s v="Legal"/>
    <n v="118814"/>
    <n v="222.39896405741183"/>
    <n v="534.23810000000003"/>
    <s v="BCI"/>
    <s v="BQ-JU-R20"/>
    <s v="PALF"/>
    <x v="3"/>
    <s v="Congo"/>
    <m/>
    <m/>
    <m/>
  </r>
  <r>
    <x v="172"/>
    <s v="Paiement CNSS deuxième trimestre/Avril, Mai et Juin 2025/Roderlin/3654899"/>
    <s v="Personnel"/>
    <s v="Legal"/>
    <n v="103494"/>
    <n v="193.72261169691939"/>
    <n v="534.23810000000003"/>
    <s v="BCI"/>
    <s v="BQ-JU-R21"/>
    <s v="PALF"/>
    <x v="3"/>
    <s v="Congo"/>
    <m/>
    <m/>
    <m/>
  </r>
  <r>
    <x v="172"/>
    <s v="Paiement CNSS deuxième trimestre/Avril, Mai et Juin 2025/Abraham/3654899"/>
    <s v="Personnel"/>
    <s v="Legal"/>
    <n v="103494"/>
    <n v="193.72261169691939"/>
    <n v="534.23810000000003"/>
    <s v="BCI"/>
    <s v="BQ-JU-R22"/>
    <s v="PALF"/>
    <x v="3"/>
    <s v="Congo"/>
    <m/>
    <m/>
    <m/>
  </r>
  <r>
    <x v="172"/>
    <s v="Paiement CNSS deuxième trimestre/Avril, Mai et Juin 2025/Parfaite/3654899"/>
    <s v="Personnel"/>
    <s v="Office"/>
    <n v="124433"/>
    <n v="232.91674629720342"/>
    <n v="534.23810000000003"/>
    <s v="BCI"/>
    <s v="BQ-JU-R23"/>
    <s v="PALF"/>
    <x v="3"/>
    <s v="Congo"/>
    <m/>
    <m/>
    <m/>
  </r>
  <r>
    <x v="172"/>
    <s v="Paiement CNSS deuxième trimestre/Avril, Mai et Juin 2025/Evariste/3654899"/>
    <s v="Personnel"/>
    <s v="Media"/>
    <n v="155330"/>
    <n v="276.90896221658943"/>
    <n v="560.94248000000005"/>
    <s v="BCI"/>
    <s v="BQ-JU-R24"/>
    <s v="PALF"/>
    <x v="5"/>
    <s v="Congo"/>
    <m/>
    <m/>
    <m/>
  </r>
  <r>
    <x v="173"/>
    <s v="Maison-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3"/>
    <s v="Bureau-Maison"/>
    <s v="Transport"/>
    <s v="Management"/>
    <n v="1000"/>
    <n v="1.8718245666117783"/>
    <n v="534.23810000000003"/>
    <s v="DOVI"/>
    <s v="DH-JU-D1"/>
    <s v="PALF"/>
    <x v="3"/>
    <s v="Congo"/>
    <m/>
    <m/>
    <m/>
  </r>
  <r>
    <x v="173"/>
    <s v="Taxi:  Bureau- Direction MTN/Achat crédits  departement management"/>
    <s v="Transport"/>
    <s v="Office"/>
    <n v="1000"/>
    <n v="1.8718245666117783"/>
    <n v="534.23810000000003"/>
    <s v="Parfaite"/>
    <s v="P-JU-D1"/>
    <s v="PALF"/>
    <x v="3"/>
    <s v="Congo"/>
    <m/>
    <m/>
    <m/>
  </r>
  <r>
    <x v="173"/>
    <s v="Taxi:   Direction MTN- Domicile/Achat crédits  departement management"/>
    <s v="Transport"/>
    <s v="Office"/>
    <n v="1000"/>
    <n v="1.8718245666117783"/>
    <n v="534.23810000000003"/>
    <s v="Parfaite"/>
    <s v="P-JU-D1"/>
    <s v="PALF"/>
    <x v="3"/>
    <s v="Congo"/>
    <m/>
    <m/>
    <m/>
  </r>
  <r>
    <x v="173"/>
    <s v="Credit téléphonique MTN PALF/ du 16 au 31 Juillet 2025/ Parfaite"/>
    <s v="Telephone"/>
    <s v="Management"/>
    <n v="5000"/>
    <n v="9.3591228330588923"/>
    <n v="534.23810000000003"/>
    <s v="Parfaite"/>
    <s v="P-JU-R1"/>
    <s v="PALF"/>
    <x v="3"/>
    <s v="Congo"/>
    <m/>
    <m/>
    <m/>
  </r>
  <r>
    <x v="173"/>
    <s v="Credit teléphonique MTN PALF/ du 16 au 31 Juillet 2025/ DOVI"/>
    <s v="Telephone"/>
    <s v="Management"/>
    <n v="20000"/>
    <n v="35.654279561783227"/>
    <n v="560.94248000000005"/>
    <s v="DOVI"/>
    <s v="DH-JU-R2"/>
    <s v="PALF"/>
    <x v="5"/>
    <s v="Congo"/>
    <m/>
    <m/>
    <m/>
  </r>
  <r>
    <x v="174"/>
    <s v="Maison-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4"/>
    <s v="Bureau- Interpol"/>
    <s v="Transport"/>
    <s v="Management"/>
    <n v="1000"/>
    <n v="1.8718245666117783"/>
    <n v="534.23810000000003"/>
    <s v="DOVI"/>
    <s v="DH-JU-D1"/>
    <s v="PALF"/>
    <x v="3"/>
    <s v="Congo"/>
    <m/>
    <m/>
    <m/>
  </r>
  <r>
    <x v="174"/>
    <s v="Interpol-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4"/>
    <s v="Bureau-Maison"/>
    <s v="Transport"/>
    <s v="Management"/>
    <n v="1000"/>
    <n v="1.8718245666117783"/>
    <n v="534.23810000000003"/>
    <s v="DOVI"/>
    <s v="DH-JU-D1"/>
    <s v="PALF"/>
    <x v="3"/>
    <s v="Congo"/>
    <m/>
    <m/>
    <m/>
  </r>
  <r>
    <x v="174"/>
    <s v="Taxi: Ecole de police-Bureau/crépin"/>
    <s v="Transport"/>
    <s v="Legal"/>
    <n v="1000"/>
    <n v="1.8718245666117783"/>
    <n v="534.23810000000003"/>
    <s v="Crépin"/>
    <s v="CR-JU-D1"/>
    <s v="PALF"/>
    <x v="3"/>
    <s v="Congo"/>
    <m/>
    <m/>
    <m/>
  </r>
  <r>
    <x v="175"/>
    <s v="Maison- 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5"/>
    <s v="Bureau-Cabinet d'huissier"/>
    <s v="Transport"/>
    <s v="Management"/>
    <n v="1000"/>
    <n v="1.8718245666117783"/>
    <n v="534.23810000000003"/>
    <s v="DOVI"/>
    <s v="DH-JU-D1"/>
    <s v="PALF"/>
    <x v="3"/>
    <s v="Congo"/>
    <m/>
    <m/>
    <m/>
  </r>
  <r>
    <x v="175"/>
    <s v="Cabinet d'huissier - 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5"/>
    <s v="Bureau-Hôtel PEFACO (rendez vous)"/>
    <s v="Transport"/>
    <s v="Management"/>
    <n v="1000"/>
    <n v="1.8718245666117783"/>
    <n v="534.23810000000003"/>
    <s v="DOVI"/>
    <s v="DH-JU-D1"/>
    <s v="PALF"/>
    <x v="3"/>
    <s v="Congo"/>
    <m/>
    <m/>
    <m/>
  </r>
  <r>
    <x v="175"/>
    <s v="Hôtel PEFACO -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5"/>
    <s v="Bureau-Maison"/>
    <s v="Transport"/>
    <s v="Management"/>
    <n v="1000"/>
    <n v="1.8718245666117783"/>
    <n v="534.23810000000003"/>
    <s v="DOVI"/>
    <s v="DH-JU-D1"/>
    <s v="PALF"/>
    <x v="3"/>
    <s v="Congo"/>
    <m/>
    <m/>
    <m/>
  </r>
  <r>
    <x v="176"/>
    <s v="Maison-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6"/>
    <s v="Bureau-Maison"/>
    <s v="Transport"/>
    <s v="Management"/>
    <n v="1000"/>
    <n v="1.8718245666117783"/>
    <n v="534.23810000000003"/>
    <s v="DOVI"/>
    <s v="DH-JU-D1"/>
    <s v="PALF"/>
    <x v="3"/>
    <s v="Congo"/>
    <m/>
    <m/>
    <m/>
  </r>
  <r>
    <x v="176"/>
    <s v="Taxi:Bureau-Station SNPC Total/Achat carburant/Abraham"/>
    <s v="Transport"/>
    <s v="Legal"/>
    <n v="2000"/>
    <n v="3.7436491332235566"/>
    <n v="534.23810000000003"/>
    <s v="Abraham"/>
    <s v="AB-JU-D1"/>
    <s v="PALF"/>
    <x v="3"/>
    <s v="Congo"/>
    <m/>
    <m/>
    <m/>
  </r>
  <r>
    <x v="176"/>
    <s v="Taxi:Station SNPC Total-Station X-oil Plateau Ville/Achat carburant/Abraham"/>
    <s v="Transport"/>
    <s v="Legal"/>
    <n v="1500"/>
    <n v="2.8077368499176676"/>
    <n v="534.23810000000003"/>
    <s v="Abraham"/>
    <s v="AB-JU-D1"/>
    <s v="PALF"/>
    <x v="3"/>
    <s v="Congo"/>
    <m/>
    <m/>
    <m/>
  </r>
  <r>
    <x v="176"/>
    <s v="Taxi:Station X-oil Plateau Ville-Station SNPC Centre Ville/Achat carburant/Abraham"/>
    <s v="Transport"/>
    <s v="Legal"/>
    <n v="1500"/>
    <n v="2.8077368499176676"/>
    <n v="534.23810000000003"/>
    <s v="Abraham"/>
    <s v="AB-JU-D1"/>
    <s v="PALF"/>
    <x v="3"/>
    <s v="Congo"/>
    <m/>
    <m/>
    <m/>
  </r>
  <r>
    <x v="176"/>
    <s v="Taxi:Station SNPC Ville-Station Total Matsoua/Achat carburant/Abraham"/>
    <s v="Transport"/>
    <s v="Legal"/>
    <n v="2000"/>
    <n v="3.7436491332235566"/>
    <n v="534.23810000000003"/>
    <s v="Abraham"/>
    <s v="AB-JU-D1"/>
    <s v="PALF"/>
    <x v="3"/>
    <s v="Congo"/>
    <m/>
    <m/>
    <m/>
  </r>
  <r>
    <x v="176"/>
    <s v="Taxi:Station Total Matsoua-Station X-oil Patte d'oie/Achat carburant/Abraham"/>
    <s v="Transport"/>
    <s v="Legal"/>
    <n v="2000"/>
    <n v="3.7436491332235566"/>
    <n v="534.23810000000003"/>
    <s v="Abraham"/>
    <s v="AB-JU-D1"/>
    <s v="PALF"/>
    <x v="3"/>
    <s v="Congo"/>
    <m/>
    <m/>
    <m/>
  </r>
  <r>
    <x v="176"/>
    <s v="Taxi: Station X-oil Patte d'oie-Bureau/Achat carburant/Abraham"/>
    <s v="Transport"/>
    <s v="Legal"/>
    <n v="1000"/>
    <n v="1.8718245666117783"/>
    <n v="534.23810000000003"/>
    <s v="Abraham"/>
    <s v="AB-JU-D1"/>
    <s v="PALF"/>
    <x v="3"/>
    <s v="Congo"/>
    <m/>
    <m/>
    <m/>
  </r>
  <r>
    <x v="176"/>
    <s v="Achat carburant groupe electrogène Bureau"/>
    <s v="Office Materiels"/>
    <s v="Office"/>
    <n v="31250"/>
    <n v="58.494517706618076"/>
    <n v="534.23810000000003"/>
    <s v="Abraham"/>
    <s v="CA-JU-R3"/>
    <s v="PALF"/>
    <x v="3"/>
    <s v="Congo"/>
    <m/>
    <m/>
    <m/>
  </r>
  <r>
    <x v="176"/>
    <s v="Taxi:Station marché total-Station rond-point moungali"/>
    <s v="Transport"/>
    <s v="Legal"/>
    <n v="2000"/>
    <n v="3.7436491332235566"/>
    <n v="534.23810000000003"/>
    <s v="Roderlin"/>
    <s v="RO-JU-D1"/>
    <s v="PALF"/>
    <x v="3"/>
    <s v="Congo"/>
    <m/>
    <m/>
    <m/>
  </r>
  <r>
    <x v="176"/>
    <s v="Taxi:Station rond point Moungali-Station 31 juillet Marché Moungali"/>
    <s v="Transport"/>
    <s v="Legal"/>
    <n v="2000"/>
    <n v="3.7436491332235566"/>
    <n v="534.23810000000003"/>
    <s v="Roderlin"/>
    <s v="RO-JU-D1"/>
    <s v="PALF"/>
    <x v="3"/>
    <s v="Congo"/>
    <m/>
    <m/>
    <m/>
  </r>
  <r>
    <x v="176"/>
    <s v="Taxi:Station marché moungali-Station 10 maisons"/>
    <s v="Transport"/>
    <s v="Legal"/>
    <n v="3000"/>
    <n v="5.6154736998353352"/>
    <n v="534.23810000000003"/>
    <s v="Roderlin"/>
    <s v="RO-JU-D1"/>
    <s v="PALF"/>
    <x v="3"/>
    <s v="Congo"/>
    <m/>
    <m/>
    <m/>
  </r>
  <r>
    <x v="176"/>
    <s v="Achat carburant groupe electrogène Bureau"/>
    <s v="Office Materiels"/>
    <s v="Office"/>
    <n v="31250"/>
    <n v="58.494517706618076"/>
    <n v="534.23810000000003"/>
    <s v="Roderlin"/>
    <s v="CA-JU-R4"/>
    <s v="PALF"/>
    <x v="3"/>
    <s v="Congo"/>
    <m/>
    <m/>
    <m/>
  </r>
  <r>
    <x v="177"/>
    <s v="Maison-Bureau"/>
    <s v="Transport"/>
    <s v="Management"/>
    <n v="1000"/>
    <n v="1.8718245666117783"/>
    <n v="534.23810000000003"/>
    <s v="DOVI"/>
    <s v="DH-JU-D1"/>
    <s v="PALF"/>
    <x v="3"/>
    <s v="Congo"/>
    <m/>
    <m/>
    <m/>
  </r>
  <r>
    <x v="177"/>
    <s v="Bureau - Maison"/>
    <s v="Transport"/>
    <s v="Management"/>
    <n v="1000"/>
    <n v="1.8718245666117783"/>
    <n v="534.23810000000003"/>
    <s v="DOVI"/>
    <s v="DH-JU-D1"/>
    <s v="PALF"/>
    <x v="3"/>
    <s v="Congo"/>
    <m/>
    <m/>
    <m/>
  </r>
  <r>
    <x v="177"/>
    <s v="Taxi:  Bureau-Banque BCI/ Verification de fonds dans le compte"/>
    <s v="Transport"/>
    <s v="Office"/>
    <n v="1000"/>
    <n v="1.8718245666117783"/>
    <n v="534.23810000000003"/>
    <s v="Parfaite"/>
    <s v="P-JU-D1"/>
    <s v="PALF"/>
    <x v="3"/>
    <s v="Congo"/>
    <m/>
    <m/>
    <m/>
  </r>
  <r>
    <x v="177"/>
    <s v="Taxi:  Banque BCI - CNSS/ vérification des cotisations dans les comptes des agents PALF"/>
    <s v="Transport"/>
    <s v="Office"/>
    <n v="1000"/>
    <n v="1.8718245666117783"/>
    <n v="534.23810000000003"/>
    <s v="Parfaite"/>
    <s v="P-JU-D1"/>
    <s v="PALF"/>
    <x v="3"/>
    <s v="Congo"/>
    <m/>
    <m/>
    <m/>
  </r>
  <r>
    <x v="177"/>
    <s v="Taxi: CNSS- Bureau/Pour les cours Banque et CNSS"/>
    <s v="Transport"/>
    <s v="Office"/>
    <n v="1000"/>
    <n v="1.8718245666117783"/>
    <n v="534.23810000000003"/>
    <s v="Parfaite"/>
    <s v="P-JU-D1"/>
    <s v="PALF"/>
    <x v="3"/>
    <s v="Congo"/>
    <m/>
    <m/>
    <m/>
  </r>
  <r>
    <x v="177"/>
    <s v="Taxi:  Bureau- Direction MTN/Achat crédits  departement legal/ Donald-Roméo"/>
    <s v="Transport"/>
    <s v="Office"/>
    <n v="1000"/>
    <n v="1.8718245666117783"/>
    <n v="534.23810000000003"/>
    <s v="Parfaite"/>
    <s v="P-JU-D1"/>
    <s v="PALF"/>
    <x v="3"/>
    <s v="Congo"/>
    <m/>
    <m/>
    <m/>
  </r>
  <r>
    <x v="177"/>
    <s v="Taxi:   Direction MTN- Domicile/Achat crédits  departement Legal/Donald-Roméo"/>
    <s v="Transport"/>
    <s v="Office"/>
    <n v="1000"/>
    <n v="1.8718245666117783"/>
    <n v="534.23810000000003"/>
    <s v="Parfaite"/>
    <s v="P-JU-D1"/>
    <s v="PALF"/>
    <x v="3"/>
    <s v="Congo"/>
    <m/>
    <m/>
    <m/>
  </r>
  <r>
    <x v="177"/>
    <s v="Credit téléphonique MTN PALF/du 22 au 31 Juillet 2025/Donald-Roméo"/>
    <s v="Telephone"/>
    <s v="Legal"/>
    <n v="5000"/>
    <n v="9.3591228330588923"/>
    <n v="534.23810000000003"/>
    <s v="Donald-Romeo"/>
    <s v="DR-JU-R1"/>
    <s v="PALF"/>
    <x v="3"/>
    <s v="Congo"/>
    <m/>
    <m/>
    <m/>
  </r>
  <r>
    <x v="177"/>
    <s v="Taxi Bureau-Agence trans Bony/ Reservation du billet"/>
    <s v="Transport "/>
    <s v="Legal"/>
    <n v="1000"/>
    <n v="1.8718245666117783"/>
    <n v="534.23810000000003"/>
    <s v="Donald-Romeo"/>
    <s v="DR-JU-D2"/>
    <s v="PALF"/>
    <x v="3"/>
    <s v="Congo"/>
    <m/>
    <m/>
    <m/>
  </r>
  <r>
    <x v="177"/>
    <s v="Achat billet Brazzaville-Owando/ Donald-Roméo"/>
    <s v="Transport "/>
    <s v="Legal"/>
    <n v="7000"/>
    <n v="13.102771966282448"/>
    <n v="534.23810000000003"/>
    <s v="Donald-Romeo"/>
    <s v="DR-JU-R2"/>
    <s v="PALF"/>
    <x v="3"/>
    <s v="Congo"/>
    <m/>
    <m/>
    <m/>
  </r>
  <r>
    <x v="177"/>
    <s v="Taxi agence Trans Bony-Domicile"/>
    <s v="Transport "/>
    <s v="Legal"/>
    <n v="1000"/>
    <n v="1.8718245666117783"/>
    <n v="534.23810000000003"/>
    <s v="Donald-Romeo"/>
    <s v="DR-JU-D2"/>
    <s v="PALF"/>
    <x v="3"/>
    <s v="Congo"/>
    <m/>
    <m/>
    <m/>
  </r>
  <r>
    <x v="177"/>
    <s v="Taxi, Bureau PALF-CNSS"/>
    <s v="Transport"/>
    <s v="Media"/>
    <n v="1000"/>
    <n v="1.8718245666117783"/>
    <n v="534.23810000000003"/>
    <s v="Evariste"/>
    <s v="EV-JU-D1"/>
    <s v="PALF"/>
    <x v="3"/>
    <s v="Congo"/>
    <m/>
    <m/>
    <m/>
  </r>
  <r>
    <x v="177"/>
    <s v="RAPATRIEME01100 RAO00010768/Fondation Elonga"/>
    <s v="Grant"/>
    <m/>
    <m/>
    <m/>
    <n v="537.75419999999997"/>
    <s v="BCI"/>
    <s v="BQ-JU-G2"/>
    <s v="PALF"/>
    <x v="6"/>
    <s v="Congo"/>
    <n v="5377542"/>
    <n v="10000"/>
    <m/>
  </r>
  <r>
    <x v="178"/>
    <s v="Maison-Bureau"/>
    <s v="Transport"/>
    <s v="Management"/>
    <n v="1000"/>
    <n v="1.8595856619994786"/>
    <n v="537.75419999999997"/>
    <s v="DOVI"/>
    <s v="DH-JU-D1"/>
    <s v="PALF"/>
    <x v="6"/>
    <s v="Congo"/>
    <m/>
    <m/>
    <m/>
  </r>
  <r>
    <x v="178"/>
    <s v="Bureau-Maison"/>
    <s v="Transport"/>
    <s v="Management"/>
    <n v="1000"/>
    <n v="1.8595856619994786"/>
    <n v="537.75419999999997"/>
    <s v="DOVI"/>
    <s v="DH-JU-D1"/>
    <s v="PALF"/>
    <x v="6"/>
    <s v="Congo"/>
    <m/>
    <m/>
    <m/>
  </r>
  <r>
    <x v="178"/>
    <s v="Taxi Domicile-Agence trans Bony/ Pour Owando"/>
    <s v="Transport "/>
    <s v="Legal"/>
    <n v="1000"/>
    <n v="1.8595856619994786"/>
    <n v="537.75419999999997"/>
    <s v="Donald-Romeo"/>
    <s v="DR-JU-D2"/>
    <s v="PALF"/>
    <x v="6"/>
    <s v="Congo"/>
    <m/>
    <m/>
    <m/>
  </r>
  <r>
    <x v="178"/>
    <s v="Taxi Agence Trans Bony d'Owando-Hôtel case mbali"/>
    <s v="Transport "/>
    <s v="Legal"/>
    <n v="500"/>
    <n v="0.92979283099973931"/>
    <n v="537.75419999999997"/>
    <s v="Donald-Romeo"/>
    <s v="DR-JU-D2"/>
    <s v="PALF"/>
    <x v="6"/>
    <s v="Congo"/>
    <m/>
    <m/>
    <m/>
  </r>
  <r>
    <x v="178"/>
    <s v="Donald-Roméo CONGO Ration  du  23 au 25/07/2025 à Owando"/>
    <s v="Travel Subsistence"/>
    <s v="Legal"/>
    <n v="20000"/>
    <n v="37.191713239989575"/>
    <n v="537.75419999999997"/>
    <s v="Donald-Romeo"/>
    <s v="DR-JU-D1"/>
    <s v="PALF"/>
    <x v="6"/>
    <s v="Congo"/>
    <m/>
    <m/>
    <m/>
  </r>
  <r>
    <x v="179"/>
    <s v="Maison-Bureau"/>
    <s v="Transport"/>
    <s v="Management"/>
    <n v="1000"/>
    <n v="1.8595856619994786"/>
    <n v="537.75419999999997"/>
    <s v="DOVI"/>
    <s v="DH-JU-D1"/>
    <s v="PALF"/>
    <x v="6"/>
    <s v="Congo"/>
    <m/>
    <m/>
    <m/>
  </r>
  <r>
    <x v="179"/>
    <s v="Bureau-Maison"/>
    <s v="Transport"/>
    <s v="Management"/>
    <n v="1000"/>
    <n v="1.8595856619994786"/>
    <n v="537.75419999999997"/>
    <s v="DOVI"/>
    <s v="DH-JU-D1"/>
    <s v="PALF"/>
    <x v="6"/>
    <s v="Congo"/>
    <m/>
    <m/>
    <m/>
  </r>
  <r>
    <x v="179"/>
    <s v="Taxi: Domicile Mayanga-Marché Total pour le bureau après l'appel du Coordinateur/crépin"/>
    <s v="Transport"/>
    <s v="Legal"/>
    <n v="1000"/>
    <n v="1.8595856619994786"/>
    <n v="537.75419999999997"/>
    <s v="Crépin"/>
    <s v="CR-JU-D1"/>
    <s v="PALF"/>
    <x v="6"/>
    <s v="Congo"/>
    <m/>
    <m/>
    <m/>
  </r>
  <r>
    <x v="179"/>
    <s v="Taxi: Marché Total-Bureau/crépin"/>
    <s v="Transport"/>
    <s v="Legal"/>
    <n v="1000"/>
    <n v="1.8595856619994786"/>
    <n v="537.75419999999997"/>
    <s v="Crépin"/>
    <s v="CR-JU-D1"/>
    <s v="PALF"/>
    <x v="6"/>
    <s v="Congo"/>
    <m/>
    <m/>
    <m/>
  </r>
  <r>
    <x v="179"/>
    <s v="Taxi: Bureau-Marché Total/crépin"/>
    <s v="Transport"/>
    <s v="Legal"/>
    <n v="1000"/>
    <n v="1.8595856619994786"/>
    <n v="537.75419999999997"/>
    <s v="Crépin"/>
    <s v="CR-JU-D1"/>
    <s v="PALF"/>
    <x v="6"/>
    <s v="Congo"/>
    <m/>
    <m/>
    <m/>
  </r>
  <r>
    <x v="179"/>
    <s v="Marché Total-Domicile Mayanga/crépin"/>
    <s v="Transport"/>
    <s v="Legal"/>
    <n v="1000"/>
    <n v="1.8595856619994786"/>
    <n v="537.75419999999997"/>
    <s v="Crépin"/>
    <s v="CR-JU-D1"/>
    <s v="PALF"/>
    <x v="6"/>
    <s v="Congo"/>
    <m/>
    <m/>
    <m/>
  </r>
  <r>
    <x v="179"/>
    <s v="Taxi:  Banque BCI - Bureau/ Aprro caisse"/>
    <s v="Transport"/>
    <s v="Office"/>
    <n v="1000"/>
    <n v="1.8595856619994786"/>
    <n v="537.75419999999997"/>
    <s v="Parfaite"/>
    <s v="P-JU-D1"/>
    <s v="PALF"/>
    <x v="6"/>
    <s v="Congo"/>
    <m/>
    <m/>
    <m/>
  </r>
  <r>
    <x v="179"/>
    <s v="Taxi:  Bureau- Direction MTN/Transfert d'argent à Donald-Roméo"/>
    <s v="Transport"/>
    <s v="Office"/>
    <n v="1000"/>
    <n v="1.8595856619994786"/>
    <n v="537.75419999999997"/>
    <s v="Parfaite"/>
    <s v="P-JU-D1"/>
    <s v="PALF"/>
    <x v="6"/>
    <s v="Congo"/>
    <m/>
    <m/>
    <m/>
  </r>
  <r>
    <x v="179"/>
    <s v="Taxi:   Direction MTN- Bureau/ Transfert d'argent et Appros caisse"/>
    <s v="Transport"/>
    <s v="Office"/>
    <n v="1000"/>
    <n v="1.8595856619994786"/>
    <n v="537.75419999999997"/>
    <s v="Parfaite"/>
    <s v="P-JU-D1"/>
    <s v="PALF"/>
    <x v="6"/>
    <s v="Congo"/>
    <m/>
    <m/>
    <m/>
  </r>
  <r>
    <x v="179"/>
    <s v="Frais de transfert d'argent à  Donald-Roméo"/>
    <s v="Transfert fees"/>
    <s v="Office"/>
    <n v="700"/>
    <n v="1.3017099633996352"/>
    <n v="537.75419999999997"/>
    <s v="Parfaite"/>
    <s v="CA-JU-R5"/>
    <s v="PALF"/>
    <x v="6"/>
    <s v="Congo"/>
    <m/>
    <m/>
    <m/>
  </r>
  <r>
    <x v="179"/>
    <s v="Taxi moto Hôtel Case Mbali-TGI"/>
    <s v="Transport "/>
    <s v="Legal"/>
    <n v="500"/>
    <n v="0.92979283099973931"/>
    <n v="537.75419999999997"/>
    <s v="Donald-Romeo"/>
    <s v="DR-JU-D2"/>
    <s v="PALF"/>
    <x v="6"/>
    <s v="Congo"/>
    <m/>
    <m/>
    <m/>
  </r>
  <r>
    <x v="179"/>
    <s v="Taxi moto TGI- Agence Trans Bony/ Reserver les billets retour"/>
    <s v="Transport "/>
    <s v="Legal"/>
    <n v="500"/>
    <n v="0.92979283099973931"/>
    <n v="537.75419999999997"/>
    <s v="Donald-Romeo"/>
    <s v="DR-JU-D2"/>
    <s v="PALF"/>
    <x v="6"/>
    <s v="Congo"/>
    <m/>
    <m/>
    <m/>
  </r>
  <r>
    <x v="179"/>
    <s v="Taxi moto Agence trans Bony- Hôtel Case Mbali"/>
    <s v="Transport "/>
    <s v="Legal"/>
    <n v="500"/>
    <n v="0.92979283099973931"/>
    <n v="537.75419999999997"/>
    <s v="Donald-Romeo"/>
    <s v="DR-JU-D2"/>
    <s v="PALF"/>
    <x v="6"/>
    <s v="Congo"/>
    <m/>
    <m/>
    <m/>
  </r>
  <r>
    <x v="179"/>
    <s v="Achat billet Owando-Brazzaville/Donald-Roméo"/>
    <s v="Transport "/>
    <s v="Legal"/>
    <n v="7000"/>
    <n v="13.017099633996351"/>
    <n v="537.75419999999997"/>
    <s v="Donald-Romeo"/>
    <s v="DR-JU-R3"/>
    <s v="PALF"/>
    <x v="6"/>
    <s v="Congo"/>
    <m/>
    <m/>
    <m/>
  </r>
  <r>
    <x v="180"/>
    <s v="Maison-Bureau"/>
    <s v="Transport"/>
    <s v="Management"/>
    <n v="1000"/>
    <n v="1.8595856619994786"/>
    <n v="537.75419999999997"/>
    <s v="DOVI"/>
    <s v="DH-JU-D1"/>
    <s v="PALF"/>
    <x v="6"/>
    <s v="Congo"/>
    <m/>
    <m/>
    <m/>
  </r>
  <r>
    <x v="180"/>
    <s v="Bureau-Maison"/>
    <s v="Transport"/>
    <s v="Management"/>
    <n v="1000"/>
    <n v="1.8595856619994786"/>
    <n v="537.75419999999997"/>
    <s v="DOVI"/>
    <s v="DH-JU-D1"/>
    <s v="PALF"/>
    <x v="6"/>
    <s v="Congo"/>
    <m/>
    <m/>
    <m/>
  </r>
  <r>
    <x v="180"/>
    <s v="Taxi: Domicile-Marché Total pour rencontre avec la comptable/crépin"/>
    <s v="Transport"/>
    <s v="Legal"/>
    <n v="1000"/>
    <n v="1.8595856619994786"/>
    <n v="537.75419999999997"/>
    <s v="Crépin"/>
    <s v="CR-JU-D1"/>
    <s v="PALF"/>
    <x v="6"/>
    <s v="Congo"/>
    <m/>
    <m/>
    <m/>
  </r>
  <r>
    <x v="180"/>
    <s v="Taxi: Marché Total-Domicile/crépin"/>
    <s v="Transport"/>
    <s v="Legal"/>
    <n v="1000"/>
    <n v="1.8595856619994786"/>
    <n v="537.75419999999997"/>
    <s v="Crépin"/>
    <s v="CR-JU-D1"/>
    <s v="PALF"/>
    <x v="6"/>
    <s v="Congo"/>
    <m/>
    <m/>
    <m/>
  </r>
  <r>
    <x v="180"/>
    <s v="Taxi:  Bureau- Cabinet d'avocat/Paiement des frais de notification cas Mervielle"/>
    <s v="Transport"/>
    <s v="Office"/>
    <n v="1000"/>
    <n v="1.8595856619994786"/>
    <n v="537.75419999999997"/>
    <s v="Parfaite"/>
    <s v="P-JU-D1"/>
    <s v="PALF"/>
    <x v="6"/>
    <s v="Congo"/>
    <m/>
    <m/>
    <m/>
  </r>
  <r>
    <x v="180"/>
    <s v="Taxi:  Cabinet d'Avocat - Bureau/Paiement des frais de notification cas Mervielle"/>
    <s v="Transport"/>
    <s v="Office"/>
    <n v="1000"/>
    <n v="1.8595856619994786"/>
    <n v="537.75419999999997"/>
    <s v="Parfaite"/>
    <s v="P-JU-D1"/>
    <s v="PALF"/>
    <x v="6"/>
    <s v="Congo"/>
    <m/>
    <m/>
    <m/>
  </r>
  <r>
    <x v="180"/>
    <s v="Taxi:  Bureau-Banque BCI/ Dépôt ordre de virement salaire du mois de Juillet 2025"/>
    <s v="Transport"/>
    <s v="Office"/>
    <n v="1000"/>
    <n v="1.8595856619994786"/>
    <n v="537.75419999999997"/>
    <s v="Parfaite"/>
    <s v="P-JU-D1"/>
    <s v="PALF"/>
    <x v="6"/>
    <s v="Congo"/>
    <m/>
    <m/>
    <m/>
  </r>
  <r>
    <x v="180"/>
    <s v="Taxi:  Banque BCI - Direction Energie Electrique du congo / Paiement facture d'Electricité du mois de Mai et Juin 2025"/>
    <s v="Transport"/>
    <s v="Office"/>
    <n v="1000"/>
    <n v="1.8595856619994786"/>
    <n v="537.75419999999997"/>
    <s v="Parfaite"/>
    <s v="P-JU-D1"/>
    <s v="PALF"/>
    <x v="6"/>
    <s v="Congo"/>
    <m/>
    <m/>
    <m/>
  </r>
  <r>
    <x v="180"/>
    <s v="Taxi: Direction Energie Electrique du congo-Bureau/ Paiement facture d'Electricité du mois de Mai et Juin 2025 "/>
    <s v="Transport"/>
    <s v="Office"/>
    <n v="1000"/>
    <n v="1.8595856619994786"/>
    <n v="537.75419999999997"/>
    <s v="Parfaite"/>
    <s v="P-JU-D1"/>
    <s v="PALF"/>
    <x v="6"/>
    <s v="Congo"/>
    <m/>
    <m/>
    <m/>
  </r>
  <r>
    <x v="180"/>
    <s v="Taxi:  Bureau- Cabinet maitre LOCKO/remis de chèque du mois de Juin 2025"/>
    <s v="Transport"/>
    <s v="Office"/>
    <n v="1000"/>
    <n v="1.8595856619994786"/>
    <n v="537.75419999999997"/>
    <s v="Parfaite"/>
    <s v="P-JU-D1"/>
    <s v="PALF"/>
    <x v="6"/>
    <s v="Congo"/>
    <m/>
    <m/>
    <m/>
  </r>
  <r>
    <x v="180"/>
    <s v="Taxi:  Cabinet maitre LOCKO - Domicile/remis de chèque du mois de Juin  2025"/>
    <s v="Transport"/>
    <s v="Office"/>
    <n v="1000"/>
    <n v="1.8595856619994786"/>
    <n v="537.75419999999997"/>
    <s v="Parfaite"/>
    <s v="P-JU-D1"/>
    <s v="PALF"/>
    <x v="6"/>
    <s v="Congo"/>
    <m/>
    <m/>
    <m/>
  </r>
  <r>
    <x v="180"/>
    <s v="Réglement facture électricité de la période Mai-Juin 2025/bureau PALF"/>
    <s v="Rent &amp; Utilities"/>
    <s v="Office"/>
    <n v="71274"/>
    <n v="132.54010847335084"/>
    <n v="537.75419999999997"/>
    <s v="Parfaite"/>
    <s v="CA-JU-R6"/>
    <s v="PALF"/>
    <x v="6"/>
    <s v="Congo"/>
    <m/>
    <m/>
    <m/>
  </r>
  <r>
    <x v="180"/>
    <s v="Donald Roméo-CONGO Frais d'hôtel du  23 au 25/07/2025 à Owando (02 Nuitées)"/>
    <s v="Travel Subsistence"/>
    <s v="Legal"/>
    <n v="30000"/>
    <n v="55.787569859984359"/>
    <n v="537.75419999999997"/>
    <s v="Donald-Romeo"/>
    <s v="DR-JU-R4"/>
    <s v="PALF"/>
    <x v="6"/>
    <s v="Congo"/>
    <m/>
    <m/>
    <m/>
  </r>
  <r>
    <x v="180"/>
    <s v="Taxi moto Hôtel Case mbali-Agens trans Bony "/>
    <s v="Transport "/>
    <s v="Legal"/>
    <n v="500"/>
    <n v="0.92979283099973931"/>
    <n v="537.75419999999997"/>
    <s v="Donald-Romeo"/>
    <s v="DR-JU-D2"/>
    <s v="PALF"/>
    <x v="6"/>
    <s v="Congo"/>
    <m/>
    <m/>
    <m/>
  </r>
  <r>
    <x v="180"/>
    <s v="Taxi agence Trans Bony-Domicile"/>
    <s v="Transport "/>
    <s v="Legal"/>
    <n v="1000"/>
    <n v="1.8595856619994786"/>
    <n v="537.75419999999997"/>
    <s v="Donald-Romeo"/>
    <s v="DR-JU-D2"/>
    <s v="PALF"/>
    <x v="6"/>
    <s v="Congo"/>
    <m/>
    <m/>
    <m/>
  </r>
  <r>
    <x v="180"/>
    <s v="Paiement salaire du mois de Juillet 2025/BAVOUMINA NZOUSSI Dina Parfaite/3654406"/>
    <s v="Personnel"/>
    <s v="Office"/>
    <n v="230000"/>
    <n v="427.70470225988009"/>
    <n v="537.75419999999997"/>
    <s v="BCI"/>
    <s v="BQ-JU-R26"/>
    <s v="PALF"/>
    <x v="6"/>
    <s v="Congo"/>
    <m/>
    <m/>
    <m/>
  </r>
  <r>
    <x v="180"/>
    <s v="Paiement salaire du mois de Juillet 2025/FOUMBA Roderlin/3654404"/>
    <s v="Personnel"/>
    <s v="Legal"/>
    <n v="200000"/>
    <n v="371.91713239989576"/>
    <n v="537.75419999999997"/>
    <s v="BCI"/>
    <s v="BQ-JU-R27"/>
    <s v="PALF"/>
    <x v="6"/>
    <s v="Congo"/>
    <m/>
    <m/>
    <m/>
  </r>
  <r>
    <x v="180"/>
    <s v="Paiement salaire du mois de Juillet 2025/BOUNGOU MAKOSSO Abraham/3654403"/>
    <s v="Personnel"/>
    <s v="Legal"/>
    <n v="200000"/>
    <n v="371.91713239989576"/>
    <n v="537.75419999999997"/>
    <s v="BCI"/>
    <s v="BQ-JU-R28"/>
    <s v="PALF"/>
    <x v="6"/>
    <s v="Congo"/>
    <m/>
    <m/>
    <m/>
  </r>
  <r>
    <x v="180"/>
    <s v="Paiement salaire du mois de Juillet 2025/Crepin IBOUILI-IBOUILI"/>
    <s v="Personnel"/>
    <s v="Legal"/>
    <n v="1037411"/>
    <n v="1929.1546212005412"/>
    <n v="537.75419999999997"/>
    <s v="BCI"/>
    <s v="BQ-JU-R29"/>
    <s v="PALF"/>
    <x v="6"/>
    <s v="Congo"/>
    <m/>
    <m/>
    <m/>
  </r>
  <r>
    <x v="180"/>
    <s v="Paiement salaire du mois de Juillet 2025/PINDI BINGA Donald- Roméo"/>
    <s v="Personnel"/>
    <s v="Legal"/>
    <n v="300000"/>
    <n v="557.87569859984364"/>
    <n v="537.75419999999997"/>
    <s v="BCI"/>
    <s v="BQ-JU-R30"/>
    <s v="PALF"/>
    <x v="6"/>
    <s v="Congo"/>
    <m/>
    <m/>
    <m/>
  </r>
  <r>
    <x v="180"/>
    <s v="Paiement salaire du mois de  Juillet 2025/Evariste LELOUSSI"/>
    <s v="Personnel"/>
    <s v="Media"/>
    <n v="238140"/>
    <n v="442.84172954855586"/>
    <n v="537.75419999999997"/>
    <s v="BCI"/>
    <s v="BQ-JU-R31"/>
    <s v="PALF"/>
    <x v="6"/>
    <s v="Congo"/>
    <m/>
    <m/>
    <m/>
  </r>
  <r>
    <x v="180"/>
    <s v="Paiement salaire du mois de Juillet 2025/LOUNDOU JeanRomain/3654405"/>
    <s v="Personnel"/>
    <s v="Legal"/>
    <n v="70968"/>
    <n v="131.971075260779"/>
    <n v="537.75419999999997"/>
    <s v="BCI"/>
    <s v="BQ-JU-R32"/>
    <s v="PALF"/>
    <x v="6"/>
    <s v="Congo"/>
    <m/>
    <m/>
    <m/>
  </r>
  <r>
    <x v="180"/>
    <s v="Frais de virement des salaire du mois Juillet 2025"/>
    <s v="Bank fees"/>
    <s v="Office"/>
    <n v="10665"/>
    <n v="19.83248108522444"/>
    <n v="537.75419999999997"/>
    <s v="BCI"/>
    <s v="BQ-JU-R33"/>
    <s v="PALF"/>
    <x v="6"/>
    <s v="Congo"/>
    <m/>
    <m/>
    <m/>
  </r>
  <r>
    <x v="181"/>
    <s v="Maison-Bureau"/>
    <s v="Transport"/>
    <s v="Management"/>
    <n v="1000"/>
    <n v="1.8595856619994786"/>
    <n v="537.75419999999997"/>
    <s v="DOVI"/>
    <s v="DH-JU-D1"/>
    <s v="PALF"/>
    <x v="6"/>
    <s v="Congo"/>
    <m/>
    <m/>
    <m/>
  </r>
  <r>
    <x v="181"/>
    <s v="Bureau-Hyppocampe"/>
    <s v="Transport"/>
    <s v="Management"/>
    <n v="1000"/>
    <n v="1.8595856619994786"/>
    <n v="537.75419999999997"/>
    <s v="DOVI"/>
    <s v="DH-JU-D1"/>
    <s v="PALF"/>
    <x v="6"/>
    <s v="Congo"/>
    <m/>
    <m/>
    <m/>
  </r>
  <r>
    <x v="181"/>
    <s v="Aspinall-Bureau"/>
    <s v="Transport"/>
    <s v="Management"/>
    <n v="1000"/>
    <n v="1.8595856619994786"/>
    <n v="537.75419999999997"/>
    <s v="DOVI"/>
    <s v="DH-JU-D1"/>
    <s v="PALF"/>
    <x v="6"/>
    <s v="Congo"/>
    <m/>
    <m/>
    <m/>
  </r>
  <r>
    <x v="181"/>
    <s v="Bureau-Maison"/>
    <s v="Transport"/>
    <s v="Management"/>
    <n v="1000"/>
    <n v="1.8595856619994786"/>
    <n v="537.75419999999997"/>
    <s v="DOVI"/>
    <s v="DH-JU-D1"/>
    <s v="PALF"/>
    <x v="6"/>
    <s v="Congo"/>
    <m/>
    <m/>
    <m/>
  </r>
  <r>
    <x v="181"/>
    <s v="Frais de ramassage d' ordures Juillet 2025"/>
    <s v="Rent et Utilities"/>
    <s v="Office"/>
    <n v="6000"/>
    <n v="11.157513971996872"/>
    <n v="537.75419999999997"/>
    <s v="Parfaite"/>
    <s v="CA-JU-R7"/>
    <s v="PALF"/>
    <x v="6"/>
    <s v="Congo"/>
    <m/>
    <m/>
    <m/>
  </r>
  <r>
    <x v="181"/>
    <s v=" Frais de prestation de nettoyage du jardin PALF Juillet 2025"/>
    <s v="Services"/>
    <s v="Office"/>
    <n v="20000"/>
    <n v="37.191713239989575"/>
    <n v="537.75419999999997"/>
    <s v="Parfaite"/>
    <s v="CA-JU-R8"/>
    <s v="PALF"/>
    <x v="6"/>
    <s v="Congo"/>
    <m/>
    <m/>
    <m/>
  </r>
  <r>
    <x v="181"/>
    <s v="Reglement prestation de nettoyage  PALF du mois de Juillet 2025"/>
    <s v="Services"/>
    <s v="Office"/>
    <n v="75625"/>
    <n v="140.63116568871058"/>
    <n v="537.75419999999997"/>
    <s v="Parfaite"/>
    <s v="CA-JU-R9"/>
    <s v="PALF"/>
    <x v="6"/>
    <s v="Congo"/>
    <m/>
    <m/>
    <m/>
  </r>
  <r>
    <x v="181"/>
    <s v="Achat de 05 ampoules à crochet"/>
    <s v="Office Materiels"/>
    <s v="Office"/>
    <n v="12500"/>
    <n v="23.244820774993485"/>
    <n v="537.75419999999997"/>
    <s v="Parfaite"/>
    <s v="CA-JU-R10"/>
    <s v="PALF"/>
    <x v="6"/>
    <s v="Congo"/>
    <m/>
    <m/>
    <m/>
  </r>
  <r>
    <x v="181"/>
    <s v="Taxi bureau-Section de Recherches"/>
    <s v="Transport "/>
    <s v="Legal"/>
    <n v="1000"/>
    <n v="1.8595856619994786"/>
    <n v="537.75419999999997"/>
    <s v="Donald-Romeo"/>
    <s v="DR-JU-D2"/>
    <s v="PALF"/>
    <x v="6"/>
    <s v="Congo"/>
    <m/>
    <m/>
    <m/>
  </r>
  <r>
    <x v="181"/>
    <s v="Taxi Section de Recherches-bureau"/>
    <s v="Transport "/>
    <s v="Legal"/>
    <n v="1000"/>
    <n v="1.8595856619994786"/>
    <n v="537.75419999999997"/>
    <s v="Donald-Romeo"/>
    <s v="DR-JU-D2"/>
    <s v="PALF"/>
    <x v="6"/>
    <s v="Congo"/>
    <m/>
    <m/>
    <m/>
  </r>
  <r>
    <x v="181"/>
    <s v="Taxi, Bureau PALF-Les Dépêches de Brazzaville"/>
    <s v="Transport"/>
    <s v="Media"/>
    <n v="1000"/>
    <n v="1.8595856619994786"/>
    <n v="537.75419999999997"/>
    <s v="Evariste"/>
    <s v="EV-JU-D1"/>
    <s v="PALF"/>
    <x v="6"/>
    <s v="Congo"/>
    <m/>
    <m/>
    <m/>
  </r>
  <r>
    <x v="181"/>
    <s v="Taxi, Les Dépêches de Brazzaville-Radio Citoyenne des Jeunes"/>
    <s v="Transport"/>
    <s v="Media"/>
    <n v="1000"/>
    <n v="1.8595856619994786"/>
    <n v="537.75419999999997"/>
    <s v="Evariste"/>
    <s v="EV-JU-D1"/>
    <s v="PALF"/>
    <x v="6"/>
    <s v="Congo"/>
    <m/>
    <m/>
    <m/>
  </r>
  <r>
    <x v="181"/>
    <s v="Bonus média portant sur la condamnation ferme de 03 trafiquants de produits de la faune le 26 Juin 2025 à Impfondo pièces presse Internet"/>
    <s v="Bonus to media officer"/>
    <s v="Media"/>
    <n v="66000"/>
    <n v="122.7326536919656"/>
    <n v="537.75419999999997"/>
    <s v="Evariste"/>
    <s v="CA-JU-D2"/>
    <s v="PALF"/>
    <x v="6"/>
    <s v="Congo"/>
    <m/>
    <m/>
    <m/>
  </r>
  <r>
    <x v="181"/>
    <s v="Bonus média portant sur la condamnation ferme de 03 trafiquants de produits de la faune le 26 Juin 2025 à Impfondo pièces presse papier(les depêches de brazzaville, l'horizon africain, l'agence congolaise de l'information"/>
    <s v="Bonus to media officer"/>
    <s v="Media"/>
    <n v="30000"/>
    <n v="55.787569859984359"/>
    <n v="537.75419999999997"/>
    <s v="Evariste"/>
    <s v="CA-JU-D3"/>
    <s v="PALF"/>
    <x v="6"/>
    <s v="Congo"/>
    <m/>
    <m/>
    <m/>
  </r>
  <r>
    <x v="181"/>
    <s v="Bonus media portant sur la condamnation ferme de 03 trafiquants de produits de la faune le 26 Juin 2025 à Impfondo presse Radio citoyenne des jeunes"/>
    <s v="Bonus to media officer"/>
    <s v="Media"/>
    <n v="6000"/>
    <n v="11.157513971996872"/>
    <n v="537.75419999999997"/>
    <s v="Evariste"/>
    <s v="CA-JU-D4"/>
    <s v="PALF"/>
    <x v="6"/>
    <s v="Congo"/>
    <m/>
    <m/>
    <m/>
  </r>
  <r>
    <x v="181"/>
    <s v="Taxi: Bureau-marché Total/ à la rencontre de maître Hélène"/>
    <s v="Transport"/>
    <s v="Legal"/>
    <n v="1000"/>
    <n v="1.8595856619994786"/>
    <n v="537.75419999999997"/>
    <s v="Romain"/>
    <s v="RM-JU-D1"/>
    <s v="PALF"/>
    <x v="6"/>
    <s v="Congo"/>
    <m/>
    <m/>
    <m/>
  </r>
  <r>
    <x v="181"/>
    <s v="Taxi: Marché Total-Domicile"/>
    <s v="Transport"/>
    <s v="Legal"/>
    <n v="1000"/>
    <n v="1.8595856619994786"/>
    <n v="537.75419999999997"/>
    <s v="Romain"/>
    <s v="RM-JU-D1"/>
    <s v="PALF"/>
    <x v="6"/>
    <s v="Congo"/>
    <m/>
    <m/>
    <m/>
  </r>
  <r>
    <x v="181"/>
    <s v="Solde honoraire contrat N°76_Owando cas EBI Aimé brichly/Maitre Marie Hélène NANITELAMIO MALONGA/ 3654408"/>
    <s v="Lawyer Fees"/>
    <s v="Legal"/>
    <n v="300000"/>
    <n v="557.87569859984364"/>
    <n v="537.75419999999997"/>
    <s v="BCI"/>
    <s v="BQ-JU-R34"/>
    <s v="PALF"/>
    <x v="6"/>
    <s v="Congo"/>
    <m/>
    <m/>
    <m/>
  </r>
  <r>
    <x v="182"/>
    <s v="Maison-Bureau"/>
    <s v="Transport"/>
    <s v="Management"/>
    <n v="1000"/>
    <n v="1.8595856619994786"/>
    <n v="537.75419999999997"/>
    <s v="DOVI"/>
    <s v="DH-JU-D1"/>
    <s v="PALF"/>
    <x v="6"/>
    <s v="Congo"/>
    <m/>
    <m/>
    <m/>
  </r>
  <r>
    <x v="182"/>
    <s v="Bureau-Maison"/>
    <s v="Transport"/>
    <s v="Management"/>
    <n v="1000"/>
    <n v="1.8595856619994786"/>
    <n v="537.75419999999997"/>
    <s v="DOVI"/>
    <s v="DH-JU-D1"/>
    <s v="PALF"/>
    <x v="6"/>
    <s v="Congo"/>
    <m/>
    <m/>
    <m/>
  </r>
  <r>
    <x v="182"/>
    <s v="Taxi: Bureau -Marché / Achat des Ampoules bureau PALF"/>
    <s v="Transport"/>
    <s v="Office"/>
    <n v="1000"/>
    <n v="1.8595856619994786"/>
    <n v="537.75419999999997"/>
    <s v="Parfaite"/>
    <s v="P-JU-D1"/>
    <s v="PALF"/>
    <x v="6"/>
    <s v="Congo"/>
    <m/>
    <m/>
    <m/>
  </r>
  <r>
    <x v="182"/>
    <s v="Taxi: Marché  - Bureau/ Achat de Ampoules bureau PALF"/>
    <s v="Transport"/>
    <s v="Office"/>
    <n v="1000"/>
    <n v="1.8595856619994786"/>
    <n v="537.75419999999997"/>
    <s v="Parfaite"/>
    <s v="P-JU-D1"/>
    <s v="PALF"/>
    <x v="6"/>
    <s v="Congo"/>
    <m/>
    <m/>
    <m/>
  </r>
  <r>
    <x v="182"/>
    <s v="Frais de notification affaire de merveille/ Maître OKEMBA NGABOMBA"/>
    <s v="Lawyer Fees"/>
    <s v="Legal"/>
    <n v="115000"/>
    <n v="213.85235112994005"/>
    <n v="537.75419999999997"/>
    <s v="Parfaite"/>
    <s v="CA-JU-R11"/>
    <s v="PALF"/>
    <x v="6"/>
    <s v="Congo"/>
    <m/>
    <m/>
    <m/>
  </r>
  <r>
    <x v="182"/>
    <s v="Achat encre HP Laser noir et couleur 216A"/>
    <s v="Office Materiels"/>
    <s v="Office"/>
    <n v="300000"/>
    <n v="557.87569859984364"/>
    <n v="537.75419999999997"/>
    <s v="Parfaite"/>
    <s v="CA-JU-R12"/>
    <s v="PALF"/>
    <x v="6"/>
    <s v="Congo"/>
    <m/>
    <m/>
    <m/>
  </r>
  <r>
    <x v="182"/>
    <s v="Achat eau mineral 16 LITRES/Bureau"/>
    <s v="Office Materiels"/>
    <s v="Office"/>
    <n v="25000"/>
    <n v="46.48964154998697"/>
    <n v="537.75419999999997"/>
    <s v="Abraham"/>
    <s v="CA-JU-R13"/>
    <s v="PALF"/>
    <x v="6"/>
    <s v="Congo"/>
    <m/>
    <m/>
    <m/>
  </r>
  <r>
    <x v="182"/>
    <s v="Taxi, groupecongomedias.com-panoramik-atu.com"/>
    <s v="Transport"/>
    <s v="Media"/>
    <n v="1000"/>
    <n v="1.8595856619994786"/>
    <n v="537.75419999999997"/>
    <s v="Evariste"/>
    <s v="EV-JU-D1"/>
    <s v="PALF"/>
    <x v="6"/>
    <s v="Congo"/>
    <m/>
    <m/>
    <m/>
  </r>
  <r>
    <x v="182"/>
    <s v="Taxi, panoramik-actu.com-tribune-eco.com"/>
    <s v="Transport"/>
    <s v="Media"/>
    <n v="1000"/>
    <n v="1.8595856619994786"/>
    <n v="537.75419999999997"/>
    <s v="Evariste"/>
    <s v="EV-JU-D1"/>
    <s v="PALF"/>
    <x v="6"/>
    <s v="Congo"/>
    <m/>
    <m/>
    <m/>
  </r>
  <r>
    <x v="182"/>
    <s v="Taxi, tribune-eco.com-firstmediac.com"/>
    <s v="Transport"/>
    <s v="Media"/>
    <n v="1000"/>
    <n v="1.8595856619994786"/>
    <n v="537.75419999999997"/>
    <s v="Evariste"/>
    <s v="EV-JU-D1"/>
    <s v="PALF"/>
    <x v="6"/>
    <s v="Congo"/>
    <m/>
    <m/>
    <m/>
  </r>
  <r>
    <x v="182"/>
    <s v="Taxi, firstmediac.com-lesechos-congobrazza.com"/>
    <s v="Transport"/>
    <s v="Media"/>
    <n v="1000"/>
    <n v="1.8595856619994786"/>
    <n v="537.75419999999997"/>
    <s v="Evariste"/>
    <s v="EV-JU-D1"/>
    <s v="PALF"/>
    <x v="6"/>
    <s v="Congo"/>
    <m/>
    <m/>
    <m/>
  </r>
  <r>
    <x v="182"/>
    <s v="Taxi, lesechos-congobrazza.com-Agence Congolaise de l'Information"/>
    <s v="Transport"/>
    <s v="Media"/>
    <n v="1000"/>
    <n v="1.8595856619994786"/>
    <n v="537.75419999999997"/>
    <s v="Evariste"/>
    <s v="EV-JU-D1"/>
    <s v="PALF"/>
    <x v="6"/>
    <s v="Congo"/>
    <m/>
    <m/>
    <m/>
  </r>
  <r>
    <x v="182"/>
    <s v="Taxi, Agence Congolaise de l'Information-opinionpublique.cg"/>
    <s v="Transport"/>
    <s v="Media"/>
    <n v="1000"/>
    <n v="1.8595856619994786"/>
    <n v="537.75419999999997"/>
    <s v="Evariste"/>
    <s v="EV-JU-D1"/>
    <s v="PALF"/>
    <x v="6"/>
    <s v="Congo"/>
    <m/>
    <m/>
    <m/>
  </r>
  <r>
    <x v="182"/>
    <s v="Taxi, opinionpublique.cg-Bureau PALF"/>
    <s v="Transport"/>
    <s v="Media"/>
    <n v="1000"/>
    <n v="1.8595856619994786"/>
    <n v="537.75419999999997"/>
    <s v="Evariste"/>
    <s v="EV-JU-D1"/>
    <s v="PALF"/>
    <x v="6"/>
    <s v="Congo"/>
    <m/>
    <m/>
    <m/>
  </r>
  <r>
    <x v="183"/>
    <s v="Maison-Bureau"/>
    <s v="Transport"/>
    <s v="Management"/>
    <n v="1000"/>
    <n v="1.8595856619994786"/>
    <n v="537.75419999999997"/>
    <s v="DOVI"/>
    <s v="DH-JU-D1"/>
    <s v="PALF"/>
    <x v="6"/>
    <s v="Congo"/>
    <m/>
    <m/>
    <m/>
  </r>
  <r>
    <x v="183"/>
    <s v="Bureau-Maison"/>
    <s v="Transport"/>
    <s v="Management"/>
    <n v="1000"/>
    <n v="1.8595856619994786"/>
    <n v="537.75419999999997"/>
    <s v="DOVI"/>
    <s v="DH-JU-D1"/>
    <s v="PALF"/>
    <x v="6"/>
    <s v="Congo"/>
    <m/>
    <m/>
    <m/>
  </r>
  <r>
    <x v="183"/>
    <s v="Taxi:Bureau- Direction Canal Box/ Paiement internet du mois de Juin 2025"/>
    <s v="Transport"/>
    <s v="Office"/>
    <n v="1000"/>
    <n v="1.8595856619994786"/>
    <n v="537.75419999999997"/>
    <s v="Parfaite"/>
    <s v="P-JU-D1"/>
    <s v="PALF"/>
    <x v="6"/>
    <s v="Congo"/>
    <m/>
    <m/>
    <m/>
  </r>
  <r>
    <x v="183"/>
    <s v="Taxi: Direction Canal Box-Bureau/ Paiement internet du mois de Juin 2025"/>
    <s v="Transport"/>
    <s v="Office"/>
    <n v="1000"/>
    <n v="1.8595856619994786"/>
    <n v="537.75419999999997"/>
    <s v="Parfaite"/>
    <s v="P-JU-D1"/>
    <s v="PALF"/>
    <x v="6"/>
    <s v="Congo"/>
    <m/>
    <m/>
    <m/>
  </r>
  <r>
    <x v="183"/>
    <s v="Reglement facture internet periode du 01/08 au 31/08/2025 bureau PALF"/>
    <s v="Internet"/>
    <s v="Office"/>
    <n v="45050"/>
    <n v="83.774334073076517"/>
    <n v="537.75419999999997"/>
    <s v="Parfaite"/>
    <s v="CA-JU-R14"/>
    <s v="PALF"/>
    <x v="6"/>
    <s v="Congo"/>
    <m/>
    <m/>
    <m/>
  </r>
  <r>
    <x v="183"/>
    <s v="Reglement honoraire du mois de de Juin 2025/P29/3654409"/>
    <s v="Personnel"/>
    <s v="Investigation"/>
    <n v="370000"/>
    <n v="688.04669493980714"/>
    <n v="537.75419999999997"/>
    <s v="BCI"/>
    <s v="BQ-JU-R35"/>
    <s v="PALF"/>
    <x v="6"/>
    <s v="Congo"/>
    <m/>
    <m/>
    <m/>
  </r>
  <r>
    <x v="183"/>
    <s v="Reglement honoraire du mois de Juin 2025/T73/3654410"/>
    <m/>
    <s v="Investigation"/>
    <n v="225000"/>
    <n v="418.40677394988268"/>
    <n v="537.75419999999997"/>
    <s v="BCI"/>
    <s v="BQ-JU-R36"/>
    <s v="PALF"/>
    <x v="6"/>
    <s v="Congo"/>
    <m/>
    <m/>
    <m/>
  </r>
  <r>
    <x v="184"/>
    <s v="Maison-Bureau"/>
    <s v="Transport"/>
    <s v="Management"/>
    <n v="1000"/>
    <n v="1.8595856619994786"/>
    <n v="537.75419999999997"/>
    <s v="DOVI"/>
    <s v="DH-JU-D1"/>
    <s v="PALF"/>
    <x v="6"/>
    <s v="Congo"/>
    <m/>
    <m/>
    <m/>
  </r>
  <r>
    <x v="184"/>
    <s v="Bureau-Maison"/>
    <s v="Transport"/>
    <s v="Management"/>
    <n v="1000"/>
    <n v="1.8595856619994786"/>
    <n v="537.75419999999997"/>
    <s v="DOVI"/>
    <s v="DH-JU-D1"/>
    <s v="PALF"/>
    <x v="6"/>
    <s v="Congo"/>
    <m/>
    <m/>
    <m/>
  </r>
  <r>
    <x v="184"/>
    <s v="Taxi:  Bureau- Direction MTN/Achat crédits  departement legal/ Romain; Roderlin et Abraham"/>
    <s v="Transport"/>
    <s v="Office"/>
    <n v="1000"/>
    <n v="1.8595856619994786"/>
    <n v="537.75419999999997"/>
    <s v="Parfaite"/>
    <s v="P-JU-D1"/>
    <s v="PALF"/>
    <x v="6"/>
    <s v="Congo"/>
    <m/>
    <m/>
    <m/>
  </r>
  <r>
    <x v="184"/>
    <s v="Taxi:   Direction MTN- Domicile/Achat crédits  departement Legal/Romain, Roderlin et Abraham"/>
    <s v="Transport"/>
    <s v="Office"/>
    <n v="1000"/>
    <n v="1.8595856619994786"/>
    <n v="537.75419999999997"/>
    <s v="Parfaite"/>
    <s v="P-JU-D1"/>
    <s v="PALF"/>
    <x v="6"/>
    <s v="Congo"/>
    <m/>
    <m/>
    <m/>
  </r>
  <r>
    <x v="184"/>
    <s v="Credit teléphonique MTN PALF/ du 01 au 15 Août 2025/ Abraham"/>
    <s v="Telephone"/>
    <s v="Legal"/>
    <n v="5000"/>
    <n v="9.2979283099973937"/>
    <n v="537.75419999999997"/>
    <s v="Abraham"/>
    <s v="AB-JU-R1"/>
    <s v="PALF"/>
    <x v="6"/>
    <s v="Congo"/>
    <m/>
    <m/>
    <m/>
  </r>
  <r>
    <x v="184"/>
    <s v="Credit teléphonique MTN PALF du 01 au 15/Août 2025 /Roderlin"/>
    <s v="Telephone"/>
    <s v="Legal"/>
    <n v="5000"/>
    <n v="9.2979283099973937"/>
    <n v="537.75419999999997"/>
    <s v="Roderlin"/>
    <s v="RO-JU-R1"/>
    <s v="PALF"/>
    <x v="6"/>
    <s v="Congo"/>
    <m/>
    <m/>
    <m/>
  </r>
  <r>
    <x v="184"/>
    <s v="Taxi:Bureau-TGI pour le suivi d'audience "/>
    <s v="Transport"/>
    <s v="Legal"/>
    <n v="1000"/>
    <n v="1.8595856619994786"/>
    <n v="537.75419999999997"/>
    <s v="Roderlin"/>
    <s v="RO-JU-D1"/>
    <s v="PALF"/>
    <x v="6"/>
    <s v="Congo"/>
    <m/>
    <m/>
    <m/>
  </r>
  <r>
    <x v="184"/>
    <s v="Taxii:TGI-Bureau"/>
    <s v="Transport"/>
    <s v="Legal"/>
    <n v="1000"/>
    <n v="1.8595856619994786"/>
    <n v="537.75419999999997"/>
    <s v="Roderlin"/>
    <s v="RO-JU-D1"/>
    <s v="PALF"/>
    <x v="6"/>
    <s v="Congo"/>
    <m/>
    <m/>
    <m/>
  </r>
  <r>
    <x v="184"/>
    <s v="Credit teléphonique MTN PALF/du 01au 08 Août  2025/Romain"/>
    <s v="Telephone"/>
    <s v="Legal"/>
    <n v="5000"/>
    <n v="9.2979283099973937"/>
    <n v="537.75419999999997"/>
    <s v="Romain"/>
    <s v="RM-JU-R1"/>
    <s v="PALF"/>
    <x v="6"/>
    <s v="Congo"/>
    <m/>
    <m/>
    <m/>
  </r>
  <r>
    <x v="185"/>
    <s v="Maison - 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85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185"/>
    <s v="Taxi:  Bureau-Banque BCI/ Retrait relevé de compte bancaire du mois de Juillet 2025"/>
    <s v="Transport"/>
    <s v="Office"/>
    <n v="1000"/>
    <n v="1.7827155035636482"/>
    <n v="560.94200000000001"/>
    <s v="Parfaite"/>
    <s v="P-AU-D1"/>
    <s v="PALF"/>
    <x v="5"/>
    <s v="Congo"/>
    <m/>
    <m/>
    <m/>
  </r>
  <r>
    <x v="185"/>
    <s v="Taxi:  Banque BCI - Bureau/ Retrait relevé de compte bancaire du mois de Juillet 2025"/>
    <s v="Transport"/>
    <s v="Office"/>
    <n v="1000"/>
    <n v="1.7827155035636482"/>
    <n v="560.94200000000001"/>
    <s v="Parfaite"/>
    <s v="P-AU-D1"/>
    <s v="PALF"/>
    <x v="5"/>
    <s v="Congo"/>
    <m/>
    <m/>
    <m/>
  </r>
  <r>
    <x v="185"/>
    <s v="Reglement loyer du mois de Juillet 2025/3654407+C31C21CC3:C27"/>
    <s v="Rent &amp; Utilities"/>
    <s v="Office"/>
    <n v="500000"/>
    <n v="891.35775178182416"/>
    <n v="560.94200000000001"/>
    <s v="BCI"/>
    <s v="BQ-AU-R2"/>
    <s v="PALF"/>
    <x v="5"/>
    <s v="Congo"/>
    <m/>
    <m/>
    <m/>
  </r>
  <r>
    <x v="186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86"/>
    <s v="Bureau 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186"/>
    <s v="Reglement honoraire du mois de Juillet 2025/IT87/3654411"/>
    <s v="Personnel"/>
    <s v="Investigation"/>
    <n v="159677"/>
    <n v="284.65866346253267"/>
    <n v="560.94200000000001"/>
    <s v="BCI"/>
    <s v="BQ-AU-R3"/>
    <s v="PALF"/>
    <x v="5"/>
    <s v="Congo"/>
    <m/>
    <m/>
    <m/>
  </r>
  <r>
    <x v="187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87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187"/>
    <s v="Taxi:  Bureau-Banque BCI/ Vérification des fonds dans le compte bancaire PALF"/>
    <s v="Transport"/>
    <s v="Office"/>
    <n v="1000"/>
    <n v="1.7827155035636482"/>
    <n v="560.94200000000001"/>
    <s v="Parfaite"/>
    <s v="P-AU-D1"/>
    <s v="PALF"/>
    <x v="5"/>
    <s v="Congo"/>
    <m/>
    <m/>
    <m/>
  </r>
  <r>
    <x v="187"/>
    <s v="Taxi:  Banque BCI - Bureau/Verification des fonds dans le compte bancaire PALF"/>
    <s v="Transport"/>
    <s v="Office"/>
    <n v="1000"/>
    <n v="1.7827155035636482"/>
    <n v="560.94200000000001"/>
    <s v="Parfaite"/>
    <s v="P-AU-D1"/>
    <s v="PALF"/>
    <x v="5"/>
    <s v="Congo"/>
    <m/>
    <m/>
    <m/>
  </r>
  <r>
    <x v="188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88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188"/>
    <s v="Taxi:  Bureau-Banque BCI/ Vérification des fonds dans le compte bancaire PALF"/>
    <s v="Transport"/>
    <s v="Office"/>
    <n v="1000"/>
    <n v="1.7827155035636482"/>
    <n v="560.94200000000001"/>
    <s v="Parfaite"/>
    <s v="P-AU-D1"/>
    <s v="PALF"/>
    <x v="5"/>
    <s v="Congo"/>
    <m/>
    <m/>
    <m/>
  </r>
  <r>
    <x v="188"/>
    <s v="Taxi:  Banque BCI - Bureau/Verification des fonds dans le compte bancaire PALF"/>
    <s v="Transport"/>
    <s v="Office"/>
    <n v="1000"/>
    <n v="1.7827155035636482"/>
    <n v="560.94200000000001"/>
    <s v="Parfaite"/>
    <s v="P-AU-D1"/>
    <s v="PALF"/>
    <x v="5"/>
    <s v="Congo"/>
    <m/>
    <m/>
    <m/>
  </r>
  <r>
    <x v="189"/>
    <s v="Maison- 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89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189"/>
    <s v="Règlement loyer Juillet 2025/Coordinateur"/>
    <s v="Personnel"/>
    <s v="Management"/>
    <n v="174625"/>
    <n v="311.30669480980208"/>
    <n v="560.94200000000001"/>
    <s v="DOVI"/>
    <s v="DH-AU-R1"/>
    <s v="PALF"/>
    <x v="5"/>
    <s v="Congo"/>
    <m/>
    <m/>
    <m/>
  </r>
  <r>
    <x v="189"/>
    <s v="Taxi:  Bureau- Société de gardiennage/remis de chèque du mois de Juillet 2025"/>
    <s v="Transport"/>
    <s v="Office"/>
    <n v="1000"/>
    <n v="1.7827155035636482"/>
    <n v="560.94200000000001"/>
    <s v="Parfaite"/>
    <s v="P-AU-D1"/>
    <s v="PALF"/>
    <x v="5"/>
    <s v="Congo"/>
    <m/>
    <m/>
    <m/>
  </r>
  <r>
    <x v="189"/>
    <s v="Taxi:  Societé de gardiennage  - Bureau/remis de chèque du mois de Juillet 2025"/>
    <s v="Transport"/>
    <s v="Office"/>
    <n v="1000"/>
    <n v="1.7827155035636482"/>
    <n v="560.94200000000001"/>
    <s v="Parfaite"/>
    <s v="P-AU-D1"/>
    <s v="PALF"/>
    <x v="5"/>
    <s v="Congo"/>
    <m/>
    <m/>
    <m/>
  </r>
  <r>
    <x v="189"/>
    <s v="Taxi:  Bureau- Direction MTN/Achat crédits  departement Investigation"/>
    <s v="Transport"/>
    <s v="Office"/>
    <n v="1000"/>
    <n v="1.7827155035636482"/>
    <n v="560.94200000000001"/>
    <s v="Parfaite"/>
    <s v="P-AU-D1"/>
    <s v="PALF"/>
    <x v="5"/>
    <s v="Congo"/>
    <m/>
    <m/>
    <m/>
  </r>
  <r>
    <x v="189"/>
    <s v="Taxi:   Direction MTN- Domicile/Achat crédits  departement Investigation"/>
    <s v="Transport"/>
    <s v="Office"/>
    <n v="1000"/>
    <n v="1.7827155035636482"/>
    <n v="560.94200000000001"/>
    <s v="Parfaite"/>
    <s v="P-AU-D1"/>
    <s v="PALF"/>
    <x v="5"/>
    <s v="Congo"/>
    <m/>
    <m/>
    <m/>
  </r>
  <r>
    <x v="189"/>
    <s v="Credit telephonique MTN PALF/ du 07 au 10 Août 2025/ Investigation/P29"/>
    <s v="Telephone"/>
    <s v="Investigation"/>
    <n v="5000"/>
    <n v="8.9135775178182417"/>
    <n v="560.94200000000001"/>
    <s v="P29"/>
    <s v="P29-AU-R1"/>
    <s v="PALF"/>
    <x v="5"/>
    <s v="Congo"/>
    <m/>
    <m/>
    <m/>
  </r>
  <r>
    <x v="189"/>
    <s v="Credit telephonique MTN PALF/ du 07 au 10 Août 2025/ Investigation/T73"/>
    <s v="Telephone"/>
    <s v="Investigation"/>
    <n v="5000"/>
    <n v="8.9135775178182417"/>
    <n v="560.94200000000001"/>
    <s v="T73"/>
    <s v="T73-AU-R1"/>
    <s v="PALF"/>
    <x v="5"/>
    <s v="Congo"/>
    <m/>
    <m/>
    <m/>
  </r>
  <r>
    <x v="189"/>
    <s v="Credit telephonique MTN PALF/du 07au 10 Aout 2025/IT87"/>
    <s v="Telephone"/>
    <s v="Investigation"/>
    <n v="5000"/>
    <n v="8.9135775178182417"/>
    <n v="560.94200000000001"/>
    <s v="IT87"/>
    <s v="IT87-AU-R1"/>
    <s v="PALF"/>
    <x v="5"/>
    <s v="Congo"/>
    <m/>
    <m/>
    <m/>
  </r>
  <r>
    <x v="189"/>
    <s v="Credit telephonique MTN PALF/du 07au 10 Aout 2025/G12"/>
    <s v="Telephone"/>
    <s v="Investigation"/>
    <n v="5000"/>
    <n v="8.9135775178182417"/>
    <n v="560.94200000000001"/>
    <s v="G12"/>
    <s v="G12-AU-R1"/>
    <s v="PALF"/>
    <x v="5"/>
    <s v="Congo"/>
    <m/>
    <m/>
    <m/>
  </r>
  <r>
    <x v="189"/>
    <s v="Reglement Facture Gardiennage Mois Juillet 2025/3654414"/>
    <s v="Services"/>
    <s v="Office"/>
    <n v="260000"/>
    <n v="463.50603092654853"/>
    <n v="560.94200000000001"/>
    <s v="BCI"/>
    <s v="BQ-AU-R4"/>
    <s v="PALF"/>
    <x v="5"/>
    <s v="Congo"/>
    <m/>
    <m/>
    <m/>
  </r>
  <r>
    <x v="190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90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190"/>
    <s v="Taxi:  Bureau-Banque BCI/ Vérification des fonds dans le compte bancaire PALF"/>
    <s v="Transport"/>
    <s v="Office"/>
    <n v="1000"/>
    <n v="1.7827155035636482"/>
    <n v="560.94200000000001"/>
    <s v="Parfaite"/>
    <s v="P-AU-D1"/>
    <s v="PALF"/>
    <x v="5"/>
    <s v="Congo"/>
    <m/>
    <m/>
    <m/>
  </r>
  <r>
    <x v="190"/>
    <s v="Taxi:  Banque BCI - Bureau/Verification des fonds dans le compte bancaire PALF"/>
    <s v="Transport"/>
    <s v="Office"/>
    <n v="1500"/>
    <n v="2.6740732553454722"/>
    <n v="560.94200000000001"/>
    <s v="Parfaite"/>
    <s v="P-AU-D1"/>
    <s v="PALF"/>
    <x v="5"/>
    <s v="Congo"/>
    <m/>
    <m/>
    <m/>
  </r>
  <r>
    <x v="191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91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191"/>
    <s v="Taxi:  Bureau-Banque BCI/ Vérification des fonds dans le compte bancaire PALF"/>
    <s v="Transport"/>
    <s v="Office"/>
    <n v="1500"/>
    <n v="2.6740732553454722"/>
    <n v="560.94200000000001"/>
    <s v="Parfaite"/>
    <s v="P-AU-D1"/>
    <s v="PALF"/>
    <x v="5"/>
    <s v="Congo"/>
    <m/>
    <m/>
    <m/>
  </r>
  <r>
    <x v="191"/>
    <s v="Taxi:  Banque BCI - Bureau/Verification des fonds dans le compte bancaire PALF"/>
    <s v="Transport"/>
    <s v="Office"/>
    <n v="2000"/>
    <n v="3.5654310071272963"/>
    <n v="560.94200000000001"/>
    <s v="Parfaite"/>
    <s v="P-AU-D1"/>
    <s v="PALF"/>
    <x v="5"/>
    <s v="Congo"/>
    <m/>
    <m/>
    <m/>
  </r>
  <r>
    <x v="191"/>
    <s v="Taxi bureau-moungali,prospection"/>
    <s v="Transport"/>
    <s v="Investigation"/>
    <n v="1000"/>
    <n v="1.7827155035636482"/>
    <n v="560.94200000000001"/>
    <s v="P29"/>
    <s v="P29-AU-D1"/>
    <s v="PALF"/>
    <x v="5"/>
    <s v="Congo"/>
    <m/>
    <m/>
    <m/>
  </r>
  <r>
    <x v="191"/>
    <s v="Taxi moungali-mapassi,prospection"/>
    <s v="Transport"/>
    <s v="Investigation"/>
    <n v="1000"/>
    <n v="1.7827155035636482"/>
    <n v="560.94200000000001"/>
    <s v="P29"/>
    <s v="P29-AU-D1"/>
    <s v="PALF"/>
    <x v="5"/>
    <s v="Congo"/>
    <m/>
    <m/>
    <m/>
  </r>
  <r>
    <x v="191"/>
    <s v="Taxi mapassi-la fleur,prospection"/>
    <s v="Transport"/>
    <s v="Investigation"/>
    <n v="1000"/>
    <n v="1.7827155035636482"/>
    <n v="560.94200000000001"/>
    <s v="P29"/>
    <s v="P29-AU-D1"/>
    <s v="PALF"/>
    <x v="5"/>
    <s v="Congo"/>
    <m/>
    <m/>
    <m/>
  </r>
  <r>
    <x v="191"/>
    <s v="Taxi la fleur -domicile"/>
    <s v="Transport"/>
    <s v="Investigation"/>
    <n v="1500"/>
    <n v="2.6740732553454722"/>
    <n v="560.94200000000001"/>
    <s v="P29"/>
    <s v="P29-AU-D1"/>
    <s v="PALF"/>
    <x v="5"/>
    <s v="Congo"/>
    <m/>
    <m/>
    <m/>
  </r>
  <r>
    <x v="191"/>
    <s v="Achat boisson à un cible"/>
    <s v="Trust Building"/>
    <s v="Investigation"/>
    <n v="1000"/>
    <n v="1.7827155035636482"/>
    <n v="560.94200000000001"/>
    <s v="P29"/>
    <s v="P29-AU-D2"/>
    <s v="PALF"/>
    <x v="5"/>
    <s v="Congo"/>
    <m/>
    <m/>
    <m/>
  </r>
  <r>
    <x v="191"/>
    <s v="Taxi : bureau - centre ville (prospection à Brazzaville)"/>
    <s v="Transport"/>
    <s v="Investigation"/>
    <n v="1000"/>
    <n v="1.7827155035636482"/>
    <n v="560.94200000000001"/>
    <s v="T73"/>
    <s v="T73-AU-D1"/>
    <s v="PALF"/>
    <x v="5"/>
    <s v="Congo"/>
    <m/>
    <m/>
    <m/>
  </r>
  <r>
    <x v="191"/>
    <s v="Taxi : centre ville - moungali (prospection à Brazzaville)"/>
    <s v="Transport"/>
    <s v="Investigation"/>
    <n v="1000"/>
    <n v="1.7827155035636482"/>
    <n v="560.94200000000001"/>
    <s v="T73"/>
    <s v="T73-AU-D1"/>
    <s v="PALF"/>
    <x v="5"/>
    <s v="Congo"/>
    <m/>
    <m/>
    <m/>
  </r>
  <r>
    <x v="191"/>
    <s v="taxi : moungali - domicile (prospection à Brazzaville)"/>
    <s v="Transport"/>
    <s v="Investigation"/>
    <n v="1000"/>
    <n v="1.7827155035636482"/>
    <n v="560.94200000000001"/>
    <s v="T73"/>
    <s v="T73-AU-D1"/>
    <s v="PALF"/>
    <x v="5"/>
    <s v="Congo"/>
    <m/>
    <m/>
    <m/>
  </r>
  <r>
    <x v="191"/>
    <s v="Taxi : Bureau - Diata/ Prospection"/>
    <s v="Transport"/>
    <s v="Investigation"/>
    <n v="1000"/>
    <n v="1.7827155035636482"/>
    <n v="560.94200000000001"/>
    <s v="IT87"/>
    <s v="IT87-AU-D1"/>
    <s v="PALF"/>
    <x v="5"/>
    <s v="Congo"/>
    <m/>
    <m/>
    <m/>
  </r>
  <r>
    <x v="191"/>
    <s v="Taxi : Diata - Bifouiti/ Rencontre avec la cible"/>
    <s v="Transport"/>
    <s v="Investigation"/>
    <n v="2000"/>
    <n v="3.5654310071272963"/>
    <n v="560.94200000000001"/>
    <s v="IT87"/>
    <s v="IT87-AU-D1"/>
    <s v="PALF"/>
    <x v="5"/>
    <s v="Congo"/>
    <m/>
    <m/>
    <m/>
  </r>
  <r>
    <x v="191"/>
    <s v="Taxi : Bifouiti - Domicile/ Retour de prospection"/>
    <s v="Transport"/>
    <s v="Investigation"/>
    <n v="2500"/>
    <n v="4.4567887589091209"/>
    <n v="560.94200000000001"/>
    <s v="IT87"/>
    <s v="IT87-AU-D1"/>
    <s v="PALF"/>
    <x v="5"/>
    <s v="Congo"/>
    <m/>
    <m/>
    <m/>
  </r>
  <r>
    <x v="191"/>
    <s v="Taxi: Bureau- mikalou /prospection"/>
    <s v="Transport"/>
    <s v="Investigation"/>
    <n v="1000"/>
    <n v="1.7827155035636482"/>
    <n v="560.94200000000001"/>
    <s v="G12"/>
    <s v="G12-AU-D1"/>
    <s v="PALF"/>
    <x v="5"/>
    <s v="Congo"/>
    <m/>
    <m/>
    <m/>
  </r>
  <r>
    <x v="191"/>
    <s v="Taxi :Mikalou - domicile"/>
    <s v="Transport"/>
    <s v="Investigation"/>
    <n v="1000"/>
    <n v="1.7827155035636482"/>
    <n v="560.94200000000001"/>
    <s v="G12"/>
    <s v="G12-AU-D1"/>
    <s v="PALF"/>
    <x v="5"/>
    <s v="Congo"/>
    <m/>
    <m/>
    <m/>
  </r>
  <r>
    <x v="192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92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192"/>
    <s v="Taxi : bureau - zone campus (prospection à Brazzaville)"/>
    <s v="Transport"/>
    <s v="Investigation"/>
    <n v="1000"/>
    <n v="1.7827155035636482"/>
    <n v="560.94200000000001"/>
    <s v="T73"/>
    <s v="T73-AU-D1"/>
    <s v="PALF"/>
    <x v="5"/>
    <s v="Congo"/>
    <m/>
    <m/>
    <m/>
  </r>
  <r>
    <x v="192"/>
    <s v="Taxi : zone campus - quartier Mfoa (prospection à Brazzaville)"/>
    <s v="Transport"/>
    <s v="Investigation"/>
    <n v="1000"/>
    <n v="1.7827155035636482"/>
    <n v="560.94200000000001"/>
    <s v="T73"/>
    <s v="T73-AU-D1"/>
    <s v="PALF"/>
    <x v="5"/>
    <s v="Congo"/>
    <m/>
    <m/>
    <m/>
  </r>
  <r>
    <x v="192"/>
    <s v="Taxi : quartier Mfoa - poto poto (prospection à Brazzaville)"/>
    <s v="Transport"/>
    <s v="Investigation"/>
    <n v="1000"/>
    <n v="1.7827155035636482"/>
    <n v="560.94200000000001"/>
    <s v="T73"/>
    <s v="T73-AU-D1"/>
    <s v="PALF"/>
    <x v="5"/>
    <s v="Congo"/>
    <m/>
    <m/>
    <m/>
  </r>
  <r>
    <x v="192"/>
    <s v="Taxi : poto poto - domicile (prospection à Brazzaville)"/>
    <s v="Transport"/>
    <s v="Investigation"/>
    <n v="1000"/>
    <n v="1.7827155035636482"/>
    <n v="560.94200000000001"/>
    <s v="T73"/>
    <s v="T73-AU-D1"/>
    <s v="PALF"/>
    <x v="5"/>
    <s v="Congo"/>
    <m/>
    <m/>
    <m/>
  </r>
  <r>
    <x v="192"/>
    <s v="achat boisson ( une cible)"/>
    <s v="Trust Building"/>
    <s v="Investigation"/>
    <n v="2000"/>
    <n v="3.5654310071272963"/>
    <n v="560.94200000000001"/>
    <s v="T73"/>
    <s v="T73-AU-D2"/>
    <s v="PALF"/>
    <x v="5"/>
    <s v="Congo"/>
    <m/>
    <m/>
    <m/>
  </r>
  <r>
    <x v="192"/>
    <s v="Taxi : Bureau - Marché Diata/ Prospection"/>
    <s v="Transport"/>
    <s v="Investigation"/>
    <n v="1000"/>
    <n v="1.7827155035636482"/>
    <n v="560.94200000000001"/>
    <s v="IT87"/>
    <s v="IT87-AU-D1"/>
    <s v="PALF"/>
    <x v="5"/>
    <s v="Congo"/>
    <m/>
    <m/>
    <m/>
  </r>
  <r>
    <x v="192"/>
    <s v="Taxi : Marché Diata - Av de la paix/ prospection"/>
    <s v="Transport"/>
    <s v="Investigation"/>
    <n v="1500"/>
    <n v="2.6740732553454722"/>
    <n v="560.94200000000001"/>
    <s v="IT87"/>
    <s v="IT87-AU-D1"/>
    <s v="PALF"/>
    <x v="5"/>
    <s v="Congo"/>
    <m/>
    <m/>
    <m/>
  </r>
  <r>
    <x v="192"/>
    <s v="Taxi : Av de la paix - Domicile/ Retour de prospection"/>
    <s v="Transport"/>
    <s v="Investigation"/>
    <n v="2500"/>
    <n v="4.4567887589091209"/>
    <n v="560.94200000000001"/>
    <s v="IT87"/>
    <s v="IT87-AU-D1"/>
    <s v="PALF"/>
    <x v="5"/>
    <s v="Congo"/>
    <m/>
    <m/>
    <m/>
  </r>
  <r>
    <x v="192"/>
    <s v="Taxi : Bureau - marché bifouiti , prospection"/>
    <s v="Transport"/>
    <s v="Investigation"/>
    <n v="1000"/>
    <n v="1.7827155035636482"/>
    <n v="560.94200000000001"/>
    <s v="G12"/>
    <s v="G12-AU-D1"/>
    <s v="PALF"/>
    <x v="5"/>
    <s v="Congo"/>
    <m/>
    <m/>
    <m/>
  </r>
  <r>
    <x v="192"/>
    <s v="Taxi: marché bifouiti- marché bouro /prospection"/>
    <s v="Transport"/>
    <s v="Investigation"/>
    <n v="1000"/>
    <n v="1.7827155035636482"/>
    <n v="560.94200000000001"/>
    <s v="G12"/>
    <s v="G12-AU-D1"/>
    <s v="PALF"/>
    <x v="5"/>
    <s v="Congo"/>
    <m/>
    <m/>
    <m/>
  </r>
  <r>
    <x v="192"/>
    <s v="Taxi: marché bouro - quartier comission /prospection"/>
    <s v="Transport"/>
    <s v="Investigation"/>
    <n v="1000"/>
    <n v="1.7827155035636482"/>
    <n v="560.94200000000001"/>
    <s v="G12"/>
    <s v="G12-AU-D1"/>
    <s v="PALF"/>
    <x v="5"/>
    <s v="Congo"/>
    <m/>
    <m/>
    <m/>
  </r>
  <r>
    <x v="192"/>
    <s v="Taxi: Quartier comission- domicile"/>
    <s v="Transport"/>
    <s v="Investigation"/>
    <n v="1000"/>
    <n v="1.7827155035636482"/>
    <n v="560.94200000000001"/>
    <s v="G12"/>
    <s v="G12-AU-D1"/>
    <s v="PALF"/>
    <x v="5"/>
    <s v="Congo"/>
    <m/>
    <m/>
    <m/>
  </r>
  <r>
    <x v="193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93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193"/>
    <s v="Taxi:  Bureau-Banque BCI/ Appro caisse PALF"/>
    <s v="Transport"/>
    <s v="Office"/>
    <n v="1500"/>
    <m/>
    <n v="560.94200000000001"/>
    <s v="Parfaite"/>
    <s v="P-AU-D1"/>
    <s v="PALF"/>
    <x v="5"/>
    <s v="Congo"/>
    <m/>
    <m/>
    <m/>
  </r>
  <r>
    <x v="193"/>
    <s v="Taxi:  Banque BCI - Bureau/Appro caisse  PALF"/>
    <s v="Transport"/>
    <s v="Office"/>
    <n v="1500"/>
    <n v="2.6740732553454722"/>
    <n v="560.94200000000001"/>
    <s v="Parfaite"/>
    <s v="P-AU-D1"/>
    <s v="PALF"/>
    <x v="5"/>
    <s v="Congo"/>
    <m/>
    <m/>
    <m/>
  </r>
  <r>
    <x v="193"/>
    <s v="Taxi domicile-bouro,prospection"/>
    <s v="Transport"/>
    <s v="Investigation"/>
    <n v="1000"/>
    <n v="1.7827155035636482"/>
    <n v="560.94200000000001"/>
    <s v="P29"/>
    <s v="P29-AU-D1"/>
    <s v="PALF"/>
    <x v="5"/>
    <s v="Congo"/>
    <m/>
    <m/>
    <m/>
  </r>
  <r>
    <x v="193"/>
    <s v="Taxi bouro-sai sai,prospection"/>
    <s v="Transport"/>
    <s v="Investigation"/>
    <n v="1000"/>
    <n v="1.7827155035636482"/>
    <n v="560.94200000000001"/>
    <s v="P29"/>
    <s v="P29-AU-D1"/>
    <s v="PALF"/>
    <x v="5"/>
    <s v="Congo"/>
    <m/>
    <m/>
    <m/>
  </r>
  <r>
    <x v="193"/>
    <s v="Taxi sai sai -bureau"/>
    <s v="Transport"/>
    <s v="Investigation"/>
    <n v="1500"/>
    <n v="2.6740732553454722"/>
    <n v="560.94200000000001"/>
    <s v="P29"/>
    <s v="P29-AU-D1"/>
    <s v="PALF"/>
    <x v="5"/>
    <s v="Congo"/>
    <m/>
    <m/>
    <m/>
  </r>
  <r>
    <x v="193"/>
    <s v="Achat boisson à un cible"/>
    <s v="Trust Building"/>
    <s v="Investigation"/>
    <n v="1000"/>
    <n v="1.7827155035636482"/>
    <n v="560.94200000000001"/>
    <s v="P29"/>
    <s v="P29-AU-D2"/>
    <s v="PALF"/>
    <x v="5"/>
    <s v="Congo"/>
    <m/>
    <m/>
    <m/>
  </r>
  <r>
    <x v="193"/>
    <s v="Taxi : domicile - texaco ( prospection à brazzaville)"/>
    <s v="Transport"/>
    <s v="Investigation"/>
    <n v="1500"/>
    <n v="2.6740732553454722"/>
    <n v="560.94200000000001"/>
    <s v="T73"/>
    <s v="T73-AU-D1"/>
    <s v="PALF"/>
    <x v="5"/>
    <s v="Congo"/>
    <m/>
    <m/>
    <m/>
  </r>
  <r>
    <x v="193"/>
    <s v="Taxi : texaco - zone de la frontière ( prospection à brazzaville)"/>
    <s v="Transport"/>
    <s v="Investigation"/>
    <n v="1000"/>
    <n v="1.7827155035636482"/>
    <n v="560.94200000000001"/>
    <s v="T73"/>
    <s v="T73-AU-D1"/>
    <s v="PALF"/>
    <x v="5"/>
    <s v="Congo"/>
    <m/>
    <m/>
    <m/>
  </r>
  <r>
    <x v="193"/>
    <s v="Taxi : zone de la frontière - bureau ( recuperer fond pour achat billet)"/>
    <s v="Transport"/>
    <s v="Investigation"/>
    <n v="1000"/>
    <n v="1.7827155035636482"/>
    <n v="560.94200000000001"/>
    <s v="T73"/>
    <s v="T73-AU-D1"/>
    <s v="PALF"/>
    <x v="5"/>
    <s v="Congo"/>
    <m/>
    <m/>
    <m/>
  </r>
  <r>
    <x v="193"/>
    <s v="Taxi : bureau - agence océan talangai ( achat billet)"/>
    <s v="Transport"/>
    <s v="Investigation"/>
    <n v="2000"/>
    <n v="3.5654310071272963"/>
    <n v="560.94200000000001"/>
    <s v="T73"/>
    <s v="T73-AU-D1"/>
    <s v="PALF"/>
    <x v="5"/>
    <s v="Congo"/>
    <m/>
    <m/>
    <m/>
  </r>
  <r>
    <x v="193"/>
    <s v="Taxi : agence océan talangai - bureau ( recuperer fond pour achat billet)"/>
    <s v="Transport"/>
    <s v="Investigation"/>
    <n v="2000"/>
    <n v="3.5654310071272963"/>
    <n v="560.94200000000001"/>
    <s v="T73"/>
    <s v="T73-AU-D1"/>
    <s v="PALF"/>
    <x v="5"/>
    <s v="Congo"/>
    <m/>
    <m/>
    <m/>
  </r>
  <r>
    <x v="193"/>
    <s v="Taxi : Domicile - Mfilou/ Prospection"/>
    <s v="Transport"/>
    <s v="Investigation"/>
    <n v="2000"/>
    <n v="3.5654310071272963"/>
    <n v="560.94200000000001"/>
    <s v="IT87"/>
    <s v="IT87-AU-D1"/>
    <s v="PALF"/>
    <x v="5"/>
    <s v="Congo"/>
    <m/>
    <m/>
    <m/>
  </r>
  <r>
    <x v="193"/>
    <s v="Taxi : Gotié - Mairie/ Prospection"/>
    <s v="Transport"/>
    <s v="Investigation"/>
    <n v="1000"/>
    <n v="1.7827155035636482"/>
    <n v="560.94200000000001"/>
    <s v="IT87"/>
    <s v="IT87-AU-D1"/>
    <s v="PALF"/>
    <x v="5"/>
    <s v="Congo"/>
    <m/>
    <m/>
    <m/>
  </r>
  <r>
    <x v="193"/>
    <s v="Taxi : Mairie - Frontière/ Prospection"/>
    <s v="Transport"/>
    <s v="Investigation"/>
    <n v="1000"/>
    <n v="1.7827155035636482"/>
    <n v="560.94200000000001"/>
    <s v="IT87"/>
    <s v="IT87-AU-D1"/>
    <s v="PALF"/>
    <x v="5"/>
    <s v="Congo"/>
    <m/>
    <m/>
    <m/>
  </r>
  <r>
    <x v="193"/>
    <s v="Taxi : Frontière - Domicile/ Retour de prospection"/>
    <s v="Transport"/>
    <s v="Investigation"/>
    <n v="2000"/>
    <n v="3.5654310071272963"/>
    <n v="560.94200000000001"/>
    <s v="IT87"/>
    <s v="IT87-AU-D1"/>
    <s v="PALF"/>
    <x v="5"/>
    <s v="Congo"/>
    <m/>
    <m/>
    <m/>
  </r>
  <r>
    <x v="193"/>
    <s v="Taxi : Domicile - nganga lingolo, prospection à brazzaville"/>
    <s v="Transport"/>
    <s v="Investigation"/>
    <n v="1500"/>
    <n v="2.6740732553454722"/>
    <n v="560.94200000000001"/>
    <s v="G12"/>
    <s v="G12-AU-D1"/>
    <s v="PALF"/>
    <x v="5"/>
    <s v="Congo"/>
    <m/>
    <m/>
    <m/>
  </r>
  <r>
    <x v="193"/>
    <s v="Taxi : Nganga lingolo- total / prospection"/>
    <s v="Transport"/>
    <s v="Investigation"/>
    <n v="1500"/>
    <n v="2.6740732553454722"/>
    <n v="560.94200000000001"/>
    <s v="G12"/>
    <s v="G12-AU-D1"/>
    <s v="PALF"/>
    <x v="5"/>
    <s v="Congo"/>
    <m/>
    <m/>
    <m/>
  </r>
  <r>
    <x v="193"/>
    <s v="Taxi: Total- domicile"/>
    <s v="Transport"/>
    <s v="Investigation"/>
    <n v="1000"/>
    <n v="1.7827155035636482"/>
    <n v="560.94200000000001"/>
    <s v="G12"/>
    <s v="G12-AU-D1"/>
    <s v="PALF"/>
    <x v="5"/>
    <s v="Congo"/>
    <m/>
    <m/>
    <m/>
  </r>
  <r>
    <x v="193"/>
    <s v="Taxi, Domicile-Bureau PALF"/>
    <s v="Transport"/>
    <s v="Media"/>
    <n v="1000"/>
    <n v="1.7827155035636482"/>
    <n v="560.94200000000001"/>
    <s v="Evariste"/>
    <s v="EV-AU-D1"/>
    <s v="PALF"/>
    <x v="5"/>
    <s v="Congo"/>
    <m/>
    <m/>
    <m/>
  </r>
  <r>
    <x v="193"/>
    <s v="Taxi, Bureau PALF-Domicile"/>
    <s v="Transport"/>
    <s v="Media"/>
    <n v="1000"/>
    <n v="1.7827155035636482"/>
    <n v="560.94200000000001"/>
    <s v="Evariste"/>
    <s v="EV-AU-D1"/>
    <s v="PALF"/>
    <x v="5"/>
    <s v="Congo"/>
    <m/>
    <m/>
    <m/>
  </r>
  <r>
    <x v="193"/>
    <s v="RAPATRIEME01100 RAO00010886/Fondation de la Famille Dahan(DFF)"/>
    <s v="Grant"/>
    <m/>
    <m/>
    <n v="0"/>
    <n v="532.90200000000004"/>
    <s v="BCI"/>
    <s v="BQ-AU-G1"/>
    <s v="PALF"/>
    <x v="7"/>
    <s v="Congo"/>
    <n v="2664510"/>
    <n v="5000"/>
    <m/>
  </r>
  <r>
    <x v="193"/>
    <s v="RAPATRIEME01100 RAO00010886/Fondation Wildcat"/>
    <s v="Grant"/>
    <m/>
    <m/>
    <n v="0"/>
    <n v="532.90192592592598"/>
    <s v="BCI"/>
    <s v="BQ-AU-G2"/>
    <s v="PALF"/>
    <x v="5"/>
    <s v="Congo"/>
    <n v="14388352"/>
    <n v="27000"/>
    <m/>
  </r>
  <r>
    <x v="194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194"/>
    <s v="Billet: Brazzaville-Impfondo"/>
    <s v="Transport"/>
    <s v="Legal"/>
    <n v="37000"/>
    <n v="65.960473631854981"/>
    <n v="560.94200000000001"/>
    <s v="Crépin"/>
    <s v="CR-AU-R1"/>
    <s v="PALF"/>
    <x v="5"/>
    <s v="Congo"/>
    <m/>
    <m/>
    <m/>
  </r>
  <r>
    <x v="194"/>
    <s v="Taxi: Mfilou Camp Militaire-Agence Océan du Nord Talangai"/>
    <s v="Transport"/>
    <s v="Legal"/>
    <n v="2000"/>
    <n v="3.5654310071272963"/>
    <n v="560.94200000000001"/>
    <s v="Crépin"/>
    <s v="CR-AU-D1"/>
    <s v="PALF"/>
    <x v="5"/>
    <s v="Congo"/>
    <m/>
    <m/>
    <m/>
  </r>
  <r>
    <x v="194"/>
    <s v="Taxi moto: Agence Océan du Nord Oyo-Hôtel Saint Bénoit"/>
    <s v="Transport"/>
    <s v="Legal"/>
    <n v="500"/>
    <n v="0.89135775178182408"/>
    <n v="560.94200000000001"/>
    <s v="Crépin"/>
    <s v="CR-AU-D1"/>
    <s v="PALF"/>
    <x v="5"/>
    <s v="Congo"/>
    <m/>
    <m/>
    <m/>
  </r>
  <r>
    <x v="194"/>
    <s v="CREPIN-CONGO Ration du 14/08 au 02/09/2025 à  Impfondo"/>
    <s v="Travel Subsistence"/>
    <s v="Legal"/>
    <n v="190000"/>
    <n v="338.71594567709315"/>
    <n v="560.94200000000001"/>
    <s v="Crépin"/>
    <s v="CR-AU-D2"/>
    <s v="PALF"/>
    <x v="5"/>
    <s v="Congo"/>
    <m/>
    <m/>
    <m/>
  </r>
  <r>
    <x v="194"/>
    <s v="Taxi:  Bureau-Banque BCI/ Appro caisse PALF"/>
    <s v="Transport"/>
    <s v="Office"/>
    <n v="1000"/>
    <n v="1.7827155035636482"/>
    <n v="560.94200000000001"/>
    <s v="Parfaite"/>
    <s v="P-AU-D1"/>
    <s v="PALF"/>
    <x v="5"/>
    <s v="Congo"/>
    <m/>
    <m/>
    <m/>
  </r>
  <r>
    <x v="194"/>
    <s v="Taxi:  Banque BCI - Bureau/Appro caisse  PALF"/>
    <s v="Transport"/>
    <s v="Office"/>
    <n v="1000"/>
    <n v="1.7827155035636482"/>
    <n v="560.94200000000001"/>
    <s v="Parfaite"/>
    <s v="P-AU-D1"/>
    <s v="PALF"/>
    <x v="5"/>
    <s v="Congo"/>
    <m/>
    <m/>
    <m/>
  </r>
  <r>
    <x v="194"/>
    <s v="Taxi: Bureau -Marché Moungali/ Achat des Ampoules bureau PALF"/>
    <s v="Transport"/>
    <s v="Office"/>
    <n v="1000"/>
    <n v="1.7827155035636482"/>
    <n v="560.94200000000001"/>
    <s v="Parfaite"/>
    <s v="P-AU-D1"/>
    <s v="PALF"/>
    <x v="5"/>
    <s v="Congo"/>
    <m/>
    <m/>
    <m/>
  </r>
  <r>
    <x v="194"/>
    <s v="Taxi: Marché Moungali - Bureau/ Achat de Ampoules bureau PALF"/>
    <s v="Transport"/>
    <s v="Office"/>
    <n v="1000"/>
    <n v="1.7827155035636482"/>
    <n v="560.94200000000001"/>
    <s v="Parfaite"/>
    <s v="P-AU-D1"/>
    <s v="PALF"/>
    <x v="5"/>
    <s v="Congo"/>
    <m/>
    <m/>
    <m/>
  </r>
  <r>
    <x v="194"/>
    <s v="Achat de 10 ampoule à crochet"/>
    <s v="Office Materiels"/>
    <s v="Office"/>
    <n v="25000"/>
    <n v="44.567887589091207"/>
    <n v="560.94200000000001"/>
    <s v="Parfaite"/>
    <s v="CA-AU-R1"/>
    <s v="PALF"/>
    <x v="5"/>
    <s v="Congo"/>
    <m/>
    <m/>
    <m/>
  </r>
  <r>
    <x v="194"/>
    <s v="Achat billet Brazzaville-Impfondo/ P29"/>
    <s v="Transport"/>
    <s v="Investigation"/>
    <n v="37000"/>
    <n v="65.960473631854981"/>
    <n v="560.94200000000001"/>
    <s v="P29"/>
    <s v="P29-AU-R2"/>
    <s v="PALF"/>
    <x v="5"/>
    <s v="Congo"/>
    <m/>
    <m/>
    <m/>
  </r>
  <r>
    <x v="194"/>
    <s v="Taxi domicile-agence,départ mission"/>
    <s v="Transport"/>
    <s v="Investigation"/>
    <n v="2500"/>
    <n v="4.4567887589091209"/>
    <n v="560.94200000000001"/>
    <s v="P29"/>
    <s v="P29-AU-D1"/>
    <s v="PALF"/>
    <x v="5"/>
    <s v="Congo"/>
    <m/>
    <m/>
    <m/>
  </r>
  <r>
    <x v="194"/>
    <s v="P29 - CONGO Ration  du 14/08 au 01 /09/2025 à Impfondo (18 Nuitées)"/>
    <s v="Travel Subsistence"/>
    <s v="Investigation"/>
    <n v="180000"/>
    <n v="320.88879064145669"/>
    <n v="560.94200000000001"/>
    <s v="P29"/>
    <s v="P29-AU-D3"/>
    <s v="PALF"/>
    <x v="5"/>
    <s v="Congo"/>
    <m/>
    <m/>
    <m/>
  </r>
  <r>
    <x v="194"/>
    <s v="Taxi agence-hotel,arrivé à oyo"/>
    <s v="Transport"/>
    <s v="Investigation"/>
    <n v="1000"/>
    <n v="1.7827155035636482"/>
    <n v="560.94200000000001"/>
    <s v="P29"/>
    <s v="P29-AU-D1"/>
    <s v="PALF"/>
    <x v="5"/>
    <s v="Congo"/>
    <m/>
    <m/>
    <m/>
  </r>
  <r>
    <x v="194"/>
    <s v="Achat billet  Brazzaville - Impfondo/T73"/>
    <s v="Transport"/>
    <s v="Investigation"/>
    <n v="37000"/>
    <n v="65.960473631854981"/>
    <n v="560.94200000000001"/>
    <s v="T73"/>
    <s v="T73-AU-R2"/>
    <s v="PALF"/>
    <x v="5"/>
    <s v="Congo"/>
    <m/>
    <m/>
    <m/>
  </r>
  <r>
    <x v="194"/>
    <s v="T73-CONGO Ration du 14 au 01/09/2025 à Impfondo (18 nuitées)"/>
    <s v="Travel Subsistence"/>
    <s v="Investigation"/>
    <n v="180000"/>
    <n v="320.88879064145669"/>
    <n v="560.94200000000001"/>
    <s v="T73"/>
    <s v="T73-AU-D3"/>
    <s v="PALF"/>
    <x v="5"/>
    <s v="Congo"/>
    <m/>
    <m/>
    <m/>
  </r>
  <r>
    <x v="194"/>
    <s v="Taxi : domicille - agence océan talangai"/>
    <s v="Transport"/>
    <s v="Investigation"/>
    <n v="2000"/>
    <n v="3.5654310071272963"/>
    <n v="560.94200000000001"/>
    <s v="T73"/>
    <s v="T73-AU-D1"/>
    <s v="PALF"/>
    <x v="5"/>
    <s v="Congo"/>
    <m/>
    <m/>
    <m/>
  </r>
  <r>
    <x v="194"/>
    <s v="Taxi : Agence céan- hotel"/>
    <s v="Transport"/>
    <s v="Investigation"/>
    <n v="500"/>
    <n v="0.89135775178182408"/>
    <n v="560.94200000000001"/>
    <s v="T73"/>
    <s v="T73-AU-D1"/>
    <s v="PALF"/>
    <x v="5"/>
    <s v="Congo"/>
    <m/>
    <m/>
    <m/>
  </r>
  <r>
    <x v="194"/>
    <s v="Achat billet Brazzaville-Imfondo/ Donald-Roméo"/>
    <s v="Transport "/>
    <s v="Legal"/>
    <n v="37000"/>
    <n v="65.960473631854981"/>
    <n v="560.94200000000001"/>
    <s v="Donald-Romeo"/>
    <s v="DR-AU-R1"/>
    <s v="PALF"/>
    <x v="5"/>
    <s v="Congo"/>
    <m/>
    <m/>
    <m/>
  </r>
  <r>
    <x v="194"/>
    <s v="Taxi Domicile-Agence Océan du Nord de Talangaï"/>
    <s v="Transport "/>
    <s v="Legal"/>
    <n v="2500"/>
    <n v="4.4567887589091209"/>
    <n v="560.94200000000001"/>
    <s v="Donald-Romeo"/>
    <s v="DR-AU-D1"/>
    <s v="PALF"/>
    <x v="5"/>
    <s v="Congo"/>
    <m/>
    <m/>
    <m/>
  </r>
  <r>
    <x v="194"/>
    <s v="Taxi agence Océan du Nord d'Oyo-Hôtel Saint Benoit"/>
    <s v="Transport "/>
    <s v="Legal"/>
    <n v="500"/>
    <n v="0.89135775178182408"/>
    <n v="560.94200000000001"/>
    <s v="Donald-Romeo"/>
    <s v="DR-AU-D1"/>
    <s v="PALF"/>
    <x v="5"/>
    <s v="Congo"/>
    <m/>
    <m/>
    <m/>
  </r>
  <r>
    <x v="194"/>
    <s v="Ration  du  14/08 au 02/09/2025 à Oyo, Impfondo et  Enyellé/ Donald-Roméo"/>
    <s v="Travel Subsistence"/>
    <s v="Legal"/>
    <n v="190000"/>
    <n v="338.71594567709315"/>
    <n v="560.94200000000001"/>
    <s v="Donald-Romeo"/>
    <s v="DR-AU-D2"/>
    <s v="PALF"/>
    <x v="5"/>
    <s v="Congo"/>
    <m/>
    <m/>
    <m/>
  </r>
  <r>
    <x v="194"/>
    <s v="Achat Billet Brazzaville-Impfondo/Evariste"/>
    <s v="Transport"/>
    <s v="Media"/>
    <n v="37000"/>
    <n v="65.960473631854981"/>
    <n v="560.94200000000001"/>
    <s v="Evariste"/>
    <s v="EV-AU-R1"/>
    <s v="PALF"/>
    <x v="5"/>
    <s v="Congo"/>
    <m/>
    <m/>
    <m/>
  </r>
  <r>
    <x v="194"/>
    <s v="Taxi, Domicile-Agence Océan du Nord de Talangai"/>
    <s v="Transport"/>
    <s v="Media"/>
    <n v="1000"/>
    <n v="1.7827155035636482"/>
    <n v="560.94200000000001"/>
    <s v="Evariste"/>
    <s v="EV-AU-D1"/>
    <s v="PALF"/>
    <x v="5"/>
    <s v="Congo"/>
    <m/>
    <m/>
    <m/>
  </r>
  <r>
    <x v="194"/>
    <s v="Taxi moto, Agence Océan du Nord d'Oyo-Hôtel Saint Benoit"/>
    <s v="Transport"/>
    <s v="Media"/>
    <n v="500"/>
    <n v="0.89135775178182408"/>
    <n v="560.94200000000001"/>
    <s v="Evariste"/>
    <s v="EV-AU-D1"/>
    <s v="PALF"/>
    <x v="5"/>
    <s v="Congo"/>
    <m/>
    <m/>
    <m/>
  </r>
  <r>
    <x v="194"/>
    <s v="Evariste-CONGO Ration du 14 août au 03 septembre 2025 à Impfondo ( 20 nuitées )"/>
    <s v="Travel Subsistence"/>
    <s v="Media"/>
    <n v="200000"/>
    <n v="356.54310071272965"/>
    <n v="560.94200000000001"/>
    <s v="Evariste"/>
    <s v="EV-AU-D2"/>
    <s v="PALF"/>
    <x v="5"/>
    <s v="Congo"/>
    <m/>
    <m/>
    <m/>
  </r>
  <r>
    <x v="194"/>
    <s v="Taxi: Bureau-Imprimérie DL/ pour retirer les cartes de visite du Coordo"/>
    <s v="Transport"/>
    <s v="Legal"/>
    <n v="1500"/>
    <n v="2.6740732553454722"/>
    <n v="560.94200000000001"/>
    <s v="Romain"/>
    <s v="RM-AU-D1"/>
    <s v="PALF"/>
    <x v="5"/>
    <s v="Congo"/>
    <m/>
    <m/>
    <m/>
  </r>
  <r>
    <x v="194"/>
    <s v="Taxi: Imprimérie DL -Bureau"/>
    <s v="Transport"/>
    <s v="Legal"/>
    <n v="1500"/>
    <n v="2.6740732553454722"/>
    <n v="560.94200000000001"/>
    <s v="Romain"/>
    <s v="RM-AU-D1"/>
    <s v="PALF"/>
    <x v="5"/>
    <s v="Congo"/>
    <m/>
    <m/>
    <m/>
  </r>
  <r>
    <x v="194"/>
    <s v="Paiement salaire du mois de Juillet 2025/Homéfa DOVI/3654413"/>
    <s v="Personnel"/>
    <s v="Management"/>
    <n v="1311000"/>
    <n v="2337.1400251719429"/>
    <n v="560.94200000000001"/>
    <s v="BCI"/>
    <s v="BQ-AU-R5"/>
    <s v="PALF"/>
    <x v="5"/>
    <s v="Congo"/>
    <m/>
    <m/>
    <m/>
  </r>
  <r>
    <x v="194"/>
    <s v="Solde honoraire contrat N°63_Brazzaville cas IBAMBOU ATEMBO Delmand Ferréol/Maitre Marie Hélène NANITELAMIO MALONGA/ 3654416"/>
    <s v="Lawyer Fees"/>
    <s v="Legal"/>
    <n v="300000"/>
    <n v="534.81465106909445"/>
    <n v="560.94200000000001"/>
    <s v="BCI"/>
    <s v="BQ-AU-R6"/>
    <s v="PALF"/>
    <x v="5"/>
    <s v="Congo"/>
    <m/>
    <m/>
    <m/>
  </r>
  <r>
    <x v="195"/>
    <s v="CREPIN-CONGO-Frais d'hôtel du 14 au 15/08/2025 à Oyo (01 Nuitée)"/>
    <s v="Travel Subsistence"/>
    <s v="Legal"/>
    <n v="15000"/>
    <n v="26.740732553454723"/>
    <n v="560.94200000000001"/>
    <s v="Crépin"/>
    <s v="CR-AU-R1"/>
    <s v="PALF"/>
    <x v="5"/>
    <s v="Congo"/>
    <m/>
    <m/>
    <m/>
  </r>
  <r>
    <x v="195"/>
    <s v="Taxi moto: Hôtel Saint Bénoit-Agence Océan"/>
    <s v="Transport"/>
    <s v="Legal"/>
    <n v="500"/>
    <n v="0.89135775178182408"/>
    <n v="560.94200000000001"/>
    <s v="Crépin"/>
    <s v="CR-AU-D1"/>
    <s v="PALF"/>
    <x v="5"/>
    <s v="Congo"/>
    <m/>
    <m/>
    <m/>
  </r>
  <r>
    <x v="195"/>
    <s v="Taxi moto: Agence Océan Enyéllé-Hôtel La Paulina"/>
    <s v="Transport"/>
    <s v="Legal"/>
    <n v="500"/>
    <n v="0.89135775178182408"/>
    <n v="560.94200000000001"/>
    <s v="Crépin"/>
    <s v="CR-AU-D1"/>
    <s v="PALF"/>
    <x v="5"/>
    <s v="Congo"/>
    <m/>
    <m/>
    <m/>
  </r>
  <r>
    <x v="195"/>
    <s v="Credit telephonique MTN PALF/du 14 au 17 Août 2025"/>
    <s v="Telephone"/>
    <s v="Legal"/>
    <n v="5000"/>
    <n v="8.9135775178182417"/>
    <n v="560.94200000000001"/>
    <s v="Crépin"/>
    <s v="CR-AU-R1"/>
    <s v="PALF"/>
    <x v="5"/>
    <s v="Congo"/>
    <m/>
    <m/>
    <m/>
  </r>
  <r>
    <x v="195"/>
    <s v="Taxi:  Domicile- Direction MTN/Achat crédits  pour les agents en mission d'Impfondo"/>
    <s v="Transport"/>
    <s v="Office"/>
    <n v="1500"/>
    <n v="2.6740732553454722"/>
    <n v="560.94200000000001"/>
    <s v="Parfaite"/>
    <s v="P-AU-D1"/>
    <s v="PALF"/>
    <x v="5"/>
    <s v="Congo"/>
    <m/>
    <m/>
    <m/>
  </r>
  <r>
    <x v="195"/>
    <s v="Taxi:   Direction MTN- Domicile/Achat crédits Achat crédits pour les agents en mission d'Impfondo"/>
    <s v="Transport"/>
    <s v="Office"/>
    <n v="1500"/>
    <n v="2.6740732553454722"/>
    <n v="560.94200000000001"/>
    <s v="Parfaite"/>
    <s v="P-AU-D1"/>
    <s v="PALF"/>
    <x v="5"/>
    <s v="Congo"/>
    <m/>
    <m/>
    <m/>
  </r>
  <r>
    <x v="195"/>
    <s v="Taxi hotel-agence,la suite du voyage pour impfondo"/>
    <s v="Transport"/>
    <s v="Investigation"/>
    <n v="1000"/>
    <n v="1.7827155035636482"/>
    <n v="560.94200000000001"/>
    <s v="P29"/>
    <s v="P29-AU-D1"/>
    <s v="PALF"/>
    <x v="5"/>
    <s v="Congo"/>
    <m/>
    <m/>
    <m/>
  </r>
  <r>
    <x v="195"/>
    <s v="P29 -CONGO Frais d'hotel du 14 au 15/08/2025 à  oyo (01 Nuitée)"/>
    <s v="Travel Subsistence"/>
    <s v="Investigation"/>
    <n v="15000"/>
    <n v="26.740732553454723"/>
    <n v="560.94200000000001"/>
    <s v="P29"/>
    <s v="P29-AU-R3"/>
    <s v="PALF"/>
    <x v="5"/>
    <s v="Congo"/>
    <m/>
    <m/>
    <m/>
  </r>
  <r>
    <x v="195"/>
    <s v="Taxi tricycle agence océan -hotel,arrivé à enyelle"/>
    <s v="Transport"/>
    <s v="Investigation"/>
    <n v="1000"/>
    <n v="1.7827155035636482"/>
    <n v="560.94200000000001"/>
    <s v="P29"/>
    <s v="P29-AU-D1"/>
    <s v="PALF"/>
    <x v="5"/>
    <s v="Congo"/>
    <m/>
    <m/>
    <m/>
  </r>
  <r>
    <x v="195"/>
    <s v="Credit telephonique MTN PALF/ du 07 au 10 Août 2025/ Investigation/P29"/>
    <s v="Telephone"/>
    <s v="Investigation"/>
    <n v="5000"/>
    <n v="8.9135775178182417"/>
    <n v="560.94200000000001"/>
    <s v="P29"/>
    <s v="P29-AU-R4"/>
    <s v="PALF"/>
    <x v="5"/>
    <s v="Congo"/>
    <m/>
    <m/>
    <m/>
  </r>
  <r>
    <x v="195"/>
    <s v="T73 - CONGO Frais d'hotel du 14 au 15/08/2025  à Oyo ( 01nuitée)"/>
    <s v="Travel Subsistence"/>
    <s v="Investigation"/>
    <n v="15000"/>
    <n v="26.740732553454723"/>
    <n v="560.94200000000001"/>
    <s v="T73"/>
    <s v="T73-AU-R3"/>
    <s v="PALF"/>
    <x v="5"/>
    <s v="Congo"/>
    <m/>
    <m/>
    <m/>
  </r>
  <r>
    <x v="195"/>
    <s v="Taxi : hotel - agence océan du nord"/>
    <s v="Transport"/>
    <s v="Investigation"/>
    <n v="500"/>
    <n v="0.89135775178182408"/>
    <n v="560.94200000000001"/>
    <s v="T73"/>
    <s v="T73-AU-D1"/>
    <s v="PALF"/>
    <x v="5"/>
    <s v="Congo"/>
    <m/>
    <m/>
    <m/>
  </r>
  <r>
    <x v="195"/>
    <s v="Taxi moto : agence océan - hotel"/>
    <s v="Transport"/>
    <s v="Investigation"/>
    <n v="500"/>
    <n v="0.89135775178182408"/>
    <n v="560.94200000000001"/>
    <s v="T73"/>
    <s v="T73-AU-D1"/>
    <s v="PALF"/>
    <x v="5"/>
    <s v="Congo"/>
    <m/>
    <m/>
    <m/>
  </r>
  <r>
    <x v="195"/>
    <s v="Credit telephonique MTN PALF/ du 14 au 17 Août 2025/ Investigation/T73"/>
    <s v="Telephone"/>
    <s v="Investigation"/>
    <n v="5000"/>
    <n v="8.9135775178182417"/>
    <n v="560.94200000000001"/>
    <s v="T73"/>
    <s v="T73-AU-R4"/>
    <s v="PALF"/>
    <x v="5"/>
    <s v="Congo"/>
    <m/>
    <m/>
    <m/>
  </r>
  <r>
    <x v="195"/>
    <s v="Donald Roméo- CONGO Frais d'hôtel du 14 au 15/08/2025 à Oyo (01 Nuitée)"/>
    <s v="Travel Subsistence"/>
    <s v="Legal"/>
    <n v="15000"/>
    <n v="26.740732553454723"/>
    <n v="560.94200000000001"/>
    <s v="Donald-Romeo"/>
    <s v="DR-AU-R2"/>
    <s v="PALF"/>
    <x v="5"/>
    <s v="Congo"/>
    <m/>
    <m/>
    <m/>
  </r>
  <r>
    <x v="195"/>
    <s v="Taxi Hôtel Saint Benoit-agence Océan du Nord d'Oyo"/>
    <s v="Transport "/>
    <s v="Legal"/>
    <n v="500"/>
    <n v="0.89135775178182408"/>
    <n v="560.94200000000001"/>
    <s v="Donald-Romeo"/>
    <s v="DR-AU-D1"/>
    <s v="PALF"/>
    <x v="5"/>
    <s v="Congo"/>
    <m/>
    <m/>
    <m/>
  </r>
  <r>
    <x v="195"/>
    <s v="Taxi Hôtel agence Océan du Nord d'Enyelé-Hôtel Paulina"/>
    <s v="Transport "/>
    <s v="Legal"/>
    <n v="500"/>
    <n v="0.89135775178182408"/>
    <n v="560.94200000000001"/>
    <s v="Donald-Romeo"/>
    <s v="DR-AU-D1"/>
    <s v="PALF"/>
    <x v="5"/>
    <s v="Congo"/>
    <m/>
    <m/>
    <m/>
  </r>
  <r>
    <x v="195"/>
    <s v="Credit telephonique MTN PALF/du 14 au 17 Août 2025"/>
    <s v="Telephone"/>
    <s v="Legal"/>
    <n v="5000"/>
    <n v="8.9135775178182417"/>
    <n v="560.94200000000001"/>
    <s v="Donald-Romeo"/>
    <s v="DR-AU-R3"/>
    <s v="PALF"/>
    <x v="5"/>
    <s v="Congo"/>
    <m/>
    <m/>
    <m/>
  </r>
  <r>
    <x v="195"/>
    <s v="Evariste-CONGO Frais de l'hôtel du 14 au 15/08/2025 à Oyo ( 01 nuitée)"/>
    <s v="Travel Subsistence"/>
    <s v="Media"/>
    <n v="15000"/>
    <n v="26.740732553454723"/>
    <n v="560.94200000000001"/>
    <s v="Evariste"/>
    <s v="EV-AU-R2"/>
    <s v="PALF"/>
    <x v="5"/>
    <s v="Congo"/>
    <m/>
    <m/>
    <m/>
  </r>
  <r>
    <x v="195"/>
    <s v="Taxi moto, Hôtel Saint Benoit-Agence Océan du Nord d'Oyo"/>
    <s v="Transport"/>
    <s v="Media"/>
    <n v="500"/>
    <n v="0.89135775178182408"/>
    <n v="560.94200000000001"/>
    <s v="Evariste"/>
    <s v="EV-AU-D1"/>
    <s v="PALF"/>
    <x v="5"/>
    <s v="Congo"/>
    <m/>
    <m/>
    <m/>
  </r>
  <r>
    <x v="195"/>
    <s v="Credit telephonique MTN PALF/du 14 au 17 Août 2025"/>
    <s v="Telephone"/>
    <s v="Media"/>
    <n v="5000"/>
    <n v="8.9135775178182417"/>
    <n v="560.94200000000001"/>
    <s v="Evariste"/>
    <s v="EV-AU-R3"/>
    <s v="PALF"/>
    <x v="5"/>
    <s v="Congo"/>
    <m/>
    <m/>
    <m/>
  </r>
  <r>
    <x v="196"/>
    <s v="CREPIN-CONGO-Frais d'hôtel  du 15 au 16/08/2025 à Enyellé (01 Nuitée)"/>
    <s v="Travel Subsistence"/>
    <s v="Legal"/>
    <n v="15000"/>
    <n v="26.740732553454723"/>
    <n v="560.94200000000001"/>
    <s v="Crépin"/>
    <s v="CR-AU-R1"/>
    <s v="PALF"/>
    <x v="5"/>
    <s v="Congo"/>
    <m/>
    <m/>
    <m/>
  </r>
  <r>
    <x v="196"/>
    <s v="Taxi moto: Hôtel Polina-Agence Océan du nord"/>
    <s v="Transport"/>
    <s v="Legal"/>
    <n v="500"/>
    <n v="0.89135775178182408"/>
    <n v="560.94200000000001"/>
    <s v="Crépin"/>
    <s v="CR-AU-D1"/>
    <s v="PALF"/>
    <x v="5"/>
    <s v="Congo"/>
    <m/>
    <m/>
    <m/>
  </r>
  <r>
    <x v="196"/>
    <s v="Taxi moto: Agence Océan d'Impfondo-Hôtel Mithé"/>
    <s v="Transport"/>
    <s v="Legal"/>
    <n v="500"/>
    <n v="0.89135775178182408"/>
    <n v="560.94200000000001"/>
    <s v="Crépin"/>
    <s v="CR-AU-D1"/>
    <s v="PALF"/>
    <x v="5"/>
    <s v="Congo"/>
    <m/>
    <m/>
    <m/>
  </r>
  <r>
    <x v="196"/>
    <s v="Taxi tricycle hotel-agence-suite du voyage pour impfondo"/>
    <s v="Transport"/>
    <s v="Investigation"/>
    <n v="1000"/>
    <n v="1.7827155035636482"/>
    <n v="560.94200000000001"/>
    <s v="P29"/>
    <s v="P29-AU-D1"/>
    <s v="PALF"/>
    <x v="5"/>
    <s v="Congo"/>
    <m/>
    <m/>
    <m/>
  </r>
  <r>
    <x v="196"/>
    <s v="P29 -CONGO Frais d'hotel du 15 au 16/08/2025 à  enyelle (01 Nuitée)"/>
    <s v="Travel Subsistence"/>
    <s v="Investigation"/>
    <n v="15000"/>
    <n v="26.740732553454723"/>
    <n v="560.94200000000001"/>
    <s v="P29"/>
    <s v="P29-AU-R5"/>
    <s v="PALF"/>
    <x v="5"/>
    <s v="Congo"/>
    <m/>
    <m/>
    <m/>
  </r>
  <r>
    <x v="196"/>
    <s v="Taxi tricycle agence océan -hotel,arrivé à impfondo"/>
    <s v="Transport"/>
    <s v="Investigation"/>
    <n v="1000"/>
    <n v="1.7827155035636482"/>
    <n v="560.94200000000001"/>
    <s v="P29"/>
    <s v="P29-AU-D1"/>
    <s v="PALF"/>
    <x v="5"/>
    <s v="Congo"/>
    <m/>
    <m/>
    <m/>
  </r>
  <r>
    <x v="196"/>
    <s v="T73 - CONGO Frais d'hotel du 15 au 16/08/2025  à Enyelle( 01nuitée)"/>
    <s v="Travel Subsistence"/>
    <s v="Investigation"/>
    <n v="15000"/>
    <n v="26.740732553454723"/>
    <n v="560.94200000000001"/>
    <s v="T73"/>
    <s v="T73-AU-R5"/>
    <s v="PALF"/>
    <x v="5"/>
    <s v="Congo"/>
    <m/>
    <m/>
    <m/>
  </r>
  <r>
    <x v="196"/>
    <s v="Taxi moto : hotel - agence océan du nord"/>
    <s v="Transport"/>
    <s v="Investigation"/>
    <n v="500"/>
    <n v="0.89135775178182408"/>
    <n v="560.94200000000001"/>
    <s v="T73"/>
    <s v="T73-AU-D1"/>
    <s v="PALF"/>
    <x v="5"/>
    <s v="Congo"/>
    <m/>
    <m/>
    <m/>
  </r>
  <r>
    <x v="196"/>
    <s v="Taxi moto : agence océan - hotel KB fils"/>
    <s v="Transport"/>
    <s v="Investigation"/>
    <n v="500"/>
    <n v="0.89135775178182408"/>
    <n v="560.94200000000001"/>
    <s v="T73"/>
    <s v="T73-AU-D1"/>
    <s v="PALF"/>
    <x v="5"/>
    <s v="Congo"/>
    <m/>
    <m/>
    <m/>
  </r>
  <r>
    <x v="196"/>
    <s v="Donald Roméo -CONGO Frais d'hôtel/ du 15 au 16/08/2025 à Enyelé (01 Nuitée)"/>
    <s v="Travel Subsistence"/>
    <s v="Legal"/>
    <n v="15000"/>
    <n v="26.740732553454723"/>
    <n v="560.94200000000001"/>
    <s v="Donald-Romeo"/>
    <s v="DR-AU-R4"/>
    <s v="PALF"/>
    <x v="5"/>
    <s v="Congo"/>
    <m/>
    <m/>
    <m/>
  </r>
  <r>
    <x v="196"/>
    <s v="Taxi Hôtel Paulina-agence Océan du Nord d'Enylé"/>
    <s v="Transport "/>
    <s v="Legal"/>
    <n v="500"/>
    <n v="0.89135775178182408"/>
    <n v="560.94200000000001"/>
    <s v="Donald-Romeo"/>
    <s v="DR-AU-D1"/>
    <s v="PALF"/>
    <x v="5"/>
    <s v="Congo"/>
    <m/>
    <m/>
    <m/>
  </r>
  <r>
    <x v="196"/>
    <s v="Taxi agence Océan du Nord d'Impfondo-Hôtel Mithé"/>
    <s v="Transport "/>
    <s v="Legal"/>
    <n v="500"/>
    <n v="0.89135775178182408"/>
    <n v="560.94200000000001"/>
    <s v="Donald-Romeo"/>
    <s v="DR-AU-D1"/>
    <s v="PALF"/>
    <x v="5"/>
    <s v="Congo"/>
    <m/>
    <m/>
    <m/>
  </r>
  <r>
    <x v="196"/>
    <s v="Evariste-CONGO Frais de l'hôtel du 15 au 16/08/2025 à Enyelé ( 01 nuitée) "/>
    <s v="Travel Subsistence"/>
    <s v="Media"/>
    <n v="15000"/>
    <n v="26.740732553454723"/>
    <n v="560.94200000000001"/>
    <s v="Evariste"/>
    <s v="EV-AU-R4"/>
    <s v="PALF"/>
    <x v="5"/>
    <s v="Congo"/>
    <m/>
    <m/>
    <m/>
  </r>
  <r>
    <x v="196"/>
    <s v="Taxi moto, Agence Océan du Nord d'Impfondo-Hôtel Mité 2"/>
    <s v="Transport"/>
    <s v="Media"/>
    <n v="500"/>
    <n v="0.89135775178182408"/>
    <n v="560.94200000000001"/>
    <s v="Evariste"/>
    <s v="EV-AU-D1"/>
    <s v="PALF"/>
    <x v="5"/>
    <s v="Congo"/>
    <m/>
    <m/>
    <m/>
  </r>
  <r>
    <x v="197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97"/>
    <s v="Bureau-Cabinet d'huissier"/>
    <s v="Transport"/>
    <s v="Management"/>
    <n v="1000"/>
    <n v="1.7827155035636482"/>
    <n v="560.94200000000001"/>
    <s v="DOVI"/>
    <s v="DH-AU-D1"/>
    <s v="PALF"/>
    <x v="5"/>
    <s v="Congo"/>
    <m/>
    <m/>
    <m/>
  </r>
  <r>
    <x v="197"/>
    <s v="Cabinet d'huissier - 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97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197"/>
    <s v="Credit telephonique MTN/PALF/ du 18 au 31 Aout 2025/DOVI"/>
    <s v="Telephone"/>
    <s v="Management"/>
    <n v="15000"/>
    <n v="26.740732553454723"/>
    <n v="560.94200000000001"/>
    <s v="DOVI"/>
    <s v="DH-AU-R2"/>
    <s v="PALF"/>
    <x v="5"/>
    <s v="Congo"/>
    <m/>
    <m/>
    <m/>
  </r>
  <r>
    <x v="197"/>
    <s v="Reglement assurance retraite Coordinateur periode Janvier-Février- Mars- Avril-Mai - Juin 2025"/>
    <s v="Personnel"/>
    <s v="Management"/>
    <n v="300000"/>
    <n v="534.81465106909445"/>
    <n v="560.94200000000001"/>
    <s v="DOVI"/>
    <s v="CA-AU-R3"/>
    <s v="PALF"/>
    <x v="5"/>
    <s v="Congo"/>
    <m/>
    <m/>
    <m/>
  </r>
  <r>
    <x v="197"/>
    <s v="Credit telephonique MTN PALF/ du 18 au 31 Août 2025"/>
    <s v="Telephone"/>
    <s v="Legal"/>
    <n v="5000"/>
    <n v="8.9135775178182417"/>
    <n v="560.94200000000001"/>
    <s v="Crépin"/>
    <s v="CR-AU-R1"/>
    <s v="PALF"/>
    <x v="5"/>
    <s v="Congo"/>
    <m/>
    <m/>
    <m/>
  </r>
  <r>
    <x v="197"/>
    <s v="Credit telephonique Airtel PALF/ du 18 au 31 Août 2025"/>
    <s v="Telephone"/>
    <s v="Legal"/>
    <n v="5000"/>
    <n v="8.9135775178182417"/>
    <n v="560.94200000000001"/>
    <s v="Crépin"/>
    <s v="CR-AU-R1"/>
    <s v="PALF"/>
    <x v="5"/>
    <s v="Congo"/>
    <m/>
    <m/>
    <m/>
  </r>
  <r>
    <x v="197"/>
    <s v="Taxi:  Bureau-Banque BCI/ Aprro caisse"/>
    <s v="Transport"/>
    <s v="Office"/>
    <n v="1000"/>
    <n v="1.7827155035636482"/>
    <n v="560.94200000000001"/>
    <s v="Parfaite"/>
    <s v="P-AU-D1"/>
    <s v="PALF"/>
    <x v="5"/>
    <s v="Congo"/>
    <m/>
    <m/>
    <m/>
  </r>
  <r>
    <x v="197"/>
    <s v="Taxi:  Banque- Direction MTN/Achat credit de l'equipe PALF"/>
    <s v="Transport"/>
    <s v="Office"/>
    <n v="1000"/>
    <n v="1.7827155035636482"/>
    <n v="560.94200000000001"/>
    <s v="Parfaite"/>
    <s v="P-AU-D1"/>
    <s v="PALF"/>
    <x v="5"/>
    <s v="Congo"/>
    <m/>
    <m/>
    <m/>
  </r>
  <r>
    <x v="197"/>
    <s v="Taxi:   Direction MTN- Bureau/Achat credit de l'equipe PALF"/>
    <s v="Transport"/>
    <s v="Office"/>
    <n v="1000"/>
    <n v="1.7827155035636482"/>
    <n v="560.94200000000001"/>
    <s v="Parfaite"/>
    <s v="P-AU-D1"/>
    <s v="PALF"/>
    <x v="5"/>
    <s v="Congo"/>
    <m/>
    <m/>
    <m/>
  </r>
  <r>
    <x v="197"/>
    <s v="Credit teléphonique MTN PALF/ du 18 au 31 Août 2025/ Parfaite"/>
    <s v="Telephone"/>
    <s v="Management"/>
    <n v="10000"/>
    <n v="17.827155035636483"/>
    <n v="560.94200000000001"/>
    <s v="Parfaite"/>
    <s v="P-AU-R1"/>
    <s v="PALF"/>
    <x v="5"/>
    <s v="Congo"/>
    <m/>
    <m/>
    <m/>
  </r>
  <r>
    <x v="197"/>
    <s v="Taxi moto hotel-mougougui,pour repérage"/>
    <s v="Transport"/>
    <s v="Investigation"/>
    <n v="500"/>
    <n v="0.89135775178182408"/>
    <n v="560.94200000000001"/>
    <s v="P29"/>
    <s v="P29-AU-D1"/>
    <s v="PALF"/>
    <x v="5"/>
    <s v="Congo"/>
    <m/>
    <m/>
    <m/>
  </r>
  <r>
    <x v="197"/>
    <s v="Taxi moto mougougui-toligana,pour repérage"/>
    <s v="Transport"/>
    <s v="Investigation"/>
    <n v="500"/>
    <n v="0.89135775178182408"/>
    <n v="560.94200000000001"/>
    <s v="P29"/>
    <s v="P29-AU-D1"/>
    <s v="PALF"/>
    <x v="5"/>
    <s v="Congo"/>
    <m/>
    <m/>
    <m/>
  </r>
  <r>
    <x v="197"/>
    <s v="Taxi tricycle toligana-bakadi,pour repérage"/>
    <s v="Transport"/>
    <s v="Investigation"/>
    <n v="1000"/>
    <n v="1.7827155035636482"/>
    <n v="560.94200000000001"/>
    <s v="P29"/>
    <s v="P29-AU-D1"/>
    <s v="PALF"/>
    <x v="5"/>
    <s v="Congo"/>
    <m/>
    <m/>
    <m/>
  </r>
  <r>
    <x v="197"/>
    <s v="Taxi tricycle bakadi-cf,retrait des fonds"/>
    <s v="Transport"/>
    <s v="Investigation"/>
    <n v="1000"/>
    <n v="1.7827155035636482"/>
    <n v="560.94200000000001"/>
    <s v="P29"/>
    <s v="P29-AU-D1"/>
    <s v="PALF"/>
    <x v="5"/>
    <s v="Congo"/>
    <m/>
    <m/>
    <m/>
  </r>
  <r>
    <x v="197"/>
    <s v="Taxi tricycle cf-angola,pour réperage"/>
    <s v="Transport"/>
    <s v="Investigation"/>
    <n v="1000"/>
    <n v="1.7827155035636482"/>
    <n v="560.94200000000001"/>
    <s v="P29"/>
    <s v="P29-AU-D1"/>
    <s v="PALF"/>
    <x v="5"/>
    <s v="Congo"/>
    <m/>
    <m/>
    <m/>
  </r>
  <r>
    <x v="197"/>
    <s v="Taxi moto angola-tossagana,pour réperage"/>
    <s v="Transport"/>
    <s v="Investigation"/>
    <n v="500"/>
    <n v="0.89135775178182408"/>
    <n v="560.94200000000001"/>
    <s v="P29"/>
    <s v="P29-AU-D1"/>
    <s v="PALF"/>
    <x v="5"/>
    <s v="Congo"/>
    <m/>
    <m/>
    <m/>
  </r>
  <r>
    <x v="197"/>
    <s v="Taxi tricycle tossagana-hotel"/>
    <s v="Transport"/>
    <s v="Investigation"/>
    <n v="1000"/>
    <n v="1.7827155035636482"/>
    <n v="560.94200000000001"/>
    <s v="P29"/>
    <s v="P29-AU-D1"/>
    <s v="PALF"/>
    <x v="5"/>
    <s v="Congo"/>
    <m/>
    <m/>
    <m/>
  </r>
  <r>
    <x v="197"/>
    <s v="Credit telephonique MTN PALF/ du 18 au 31 Août 2025/ Investigation/P29"/>
    <s v="Telephone"/>
    <s v="Investigation"/>
    <n v="10000"/>
    <n v="17.827155035636483"/>
    <n v="560.94200000000001"/>
    <s v="P29"/>
    <s v="P29-AU-R6"/>
    <s v="PALF"/>
    <x v="5"/>
    <s v="Congo"/>
    <m/>
    <m/>
    <m/>
  </r>
  <r>
    <x v="197"/>
    <s v="Credit telephonique Airtel PALF/ du18 au 31 Août 2025/ Investigation/P29"/>
    <s v="Telephone"/>
    <s v="Investigation"/>
    <n v="5000"/>
    <n v="8.9135775178182417"/>
    <n v="560.94200000000001"/>
    <s v="P29"/>
    <s v="P29-AU-R7"/>
    <s v="PALF"/>
    <x v="5"/>
    <s v="Congo"/>
    <m/>
    <m/>
    <m/>
  </r>
  <r>
    <x v="197"/>
    <s v="Taxi moto : hotel KB fils -centre ville ( reperage lieu OP)"/>
    <s v="Transport"/>
    <s v="Investigation"/>
    <n v="500"/>
    <n v="0.89135775178182408"/>
    <n v="560.94200000000001"/>
    <s v="T73"/>
    <s v="T73-AU-D1"/>
    <s v="PALF"/>
    <x v="5"/>
    <s v="Congo"/>
    <m/>
    <m/>
    <m/>
  </r>
  <r>
    <x v="197"/>
    <s v="Taxi moto : centre ville - quartier angola ( reperage lieu OP)"/>
    <s v="Transport"/>
    <s v="Investigation"/>
    <n v="500"/>
    <n v="0.89135775178182408"/>
    <n v="560.94200000000001"/>
    <s v="T73"/>
    <s v="T73-AU-D1"/>
    <s v="PALF"/>
    <x v="5"/>
    <s v="Congo"/>
    <m/>
    <m/>
    <m/>
  </r>
  <r>
    <x v="197"/>
    <s v="Taxi moto : quartier angola - charden farell ( reperage lieu OP)"/>
    <s v="Transport"/>
    <s v="Investigation"/>
    <n v="500"/>
    <n v="0.89135775178182408"/>
    <n v="560.94200000000001"/>
    <s v="T73"/>
    <s v="T73-AU-D1"/>
    <s v="PALF"/>
    <x v="5"/>
    <s v="Congo"/>
    <m/>
    <m/>
    <m/>
  </r>
  <r>
    <x v="197"/>
    <s v="Taxi moto : charden farell - hotel KB fils( reperage lieu OP)"/>
    <s v="Transport"/>
    <s v="Investigation"/>
    <n v="500"/>
    <n v="0.89135775178182408"/>
    <n v="560.94200000000001"/>
    <s v="T73"/>
    <s v="T73-AU-D1"/>
    <s v="PALF"/>
    <x v="5"/>
    <s v="Congo"/>
    <m/>
    <m/>
    <m/>
  </r>
  <r>
    <x v="197"/>
    <s v="Credit telephonique MTN PALF/ du 14 au 17 Août 2025/ Investigation/T73"/>
    <s v="Telephone"/>
    <s v="Investigation"/>
    <n v="15000"/>
    <n v="26.740732553454723"/>
    <n v="560.94200000000001"/>
    <s v="T73"/>
    <s v="T73-AU-R6"/>
    <s v="PALF"/>
    <x v="5"/>
    <s v="Congo"/>
    <m/>
    <m/>
    <m/>
  </r>
  <r>
    <x v="197"/>
    <s v="Taxi : Bureau - Agence Ocean du nord/ Achat billet "/>
    <s v="Transport"/>
    <s v="Investigation"/>
    <n v="1000"/>
    <n v="1.7827155035636482"/>
    <n v="560.94200000000001"/>
    <s v="IT87"/>
    <s v="IT87-AU-D1"/>
    <s v="PALF"/>
    <x v="5"/>
    <s v="Congo"/>
    <m/>
    <m/>
    <m/>
  </r>
  <r>
    <x v="197"/>
    <s v="Taxi : Agence Ocean du nord - Agence trans bony/ Achat billet"/>
    <s v="Transport"/>
    <s v="Investigation"/>
    <n v="1000"/>
    <n v="1.7827155035636482"/>
    <n v="560.94200000000001"/>
    <s v="IT87"/>
    <s v="IT87-AU-D1"/>
    <s v="PALF"/>
    <x v="5"/>
    <s v="Congo"/>
    <m/>
    <m/>
    <m/>
  </r>
  <r>
    <x v="197"/>
    <s v="Achat billet Brazzaville - Ngo/ IT87"/>
    <s v="Transport"/>
    <s v="Investigation"/>
    <n v="5000"/>
    <n v="8.9135775178182417"/>
    <n v="560.94200000000001"/>
    <s v="IT87"/>
    <s v="IT87-AU-R2"/>
    <s v="PALF"/>
    <x v="5"/>
    <s v="Congo"/>
    <m/>
    <m/>
    <m/>
  </r>
  <r>
    <x v="197"/>
    <s v="Taxi : Agence trans bony - Domicile/ Retour d'achat billet"/>
    <s v="Transport"/>
    <s v="Investigation"/>
    <n v="2000"/>
    <n v="3.5654310071272963"/>
    <n v="560.94200000000001"/>
    <s v="IT87"/>
    <s v="IT87-AU-D1"/>
    <s v="PALF"/>
    <x v="5"/>
    <s v="Congo"/>
    <m/>
    <m/>
    <m/>
  </r>
  <r>
    <x v="197"/>
    <s v="Credit telephonique MTN PALF/du 18au 31 Aout 2025/IT87"/>
    <s v="Telephone"/>
    <s v="Investigation"/>
    <n v="15000"/>
    <n v="26.740732553454723"/>
    <n v="560.94200000000001"/>
    <s v="IT87"/>
    <s v="IT87-AU-R3"/>
    <s v="PALF"/>
    <x v="5"/>
    <s v="Congo"/>
    <m/>
    <m/>
    <m/>
  </r>
  <r>
    <x v="197"/>
    <s v="G12-CONGO Achat billet Brazzaville - Pointe Noire"/>
    <s v="Transport"/>
    <s v="Investigation"/>
    <n v="12000"/>
    <n v="21.392586042763778"/>
    <n v="560.94200000000001"/>
    <s v="G12"/>
    <s v="G12-AU-R2"/>
    <s v="PALF"/>
    <x v="5"/>
    <s v="Congo"/>
    <m/>
    <m/>
    <m/>
  </r>
  <r>
    <x v="197"/>
    <s v="Credit telephonique MTN PALF/du 18 au 31 Aout 2025/G12"/>
    <s v="Telephone"/>
    <s v="Investigation"/>
    <n v="5000"/>
    <n v="8.9135775178182417"/>
    <n v="560.94200000000001"/>
    <s v="G12"/>
    <s v="G12-AU-R3"/>
    <s v="PALF"/>
    <x v="5"/>
    <s v="Congo"/>
    <m/>
    <m/>
    <m/>
  </r>
  <r>
    <x v="197"/>
    <s v="Credit telephonique Airtel PALF/du 18 au 31 Aout 2025/G12"/>
    <s v="Telephone"/>
    <s v="Investigation"/>
    <n v="10000"/>
    <n v="17.827155035636483"/>
    <n v="560.94200000000001"/>
    <s v="G12"/>
    <s v="G12-AU-R4"/>
    <s v="PALF"/>
    <x v="5"/>
    <s v="Congo"/>
    <m/>
    <m/>
    <m/>
  </r>
  <r>
    <x v="197"/>
    <s v="Taxi: Bureau- Agence Charden Farell/ Transfert d'argent"/>
    <s v="Transport"/>
    <s v="Legal"/>
    <n v="500"/>
    <n v="0.89135775178182408"/>
    <n v="560.94200000000001"/>
    <s v="Abraham"/>
    <s v="AB-AU-D1"/>
    <s v="PALF"/>
    <x v="5"/>
    <s v="Congo"/>
    <m/>
    <m/>
    <m/>
  </r>
  <r>
    <x v="197"/>
    <s v="Taxi: Agence Charden Farell-Bureau/Transfert d'argent"/>
    <s v="Transport"/>
    <s v="Legal"/>
    <n v="500"/>
    <n v="0.89135775178182408"/>
    <n v="560.94200000000001"/>
    <s v="Abraham"/>
    <s v="AB-AU-D1"/>
    <s v="PALF"/>
    <x v="5"/>
    <s v="Congo"/>
    <m/>
    <m/>
    <m/>
  </r>
  <r>
    <x v="197"/>
    <s v="Frais de tansfert d'argent à crépin, Donald-Roméo, Evariste, P29 et T73"/>
    <s v="Transfert fees"/>
    <s v="Office"/>
    <n v="32940"/>
    <n v="58.722648687386574"/>
    <n v="560.94200000000001"/>
    <s v="Abraham"/>
    <s v="CA-AU-R2"/>
    <s v="PALF"/>
    <x v="5"/>
    <s v="Congo"/>
    <m/>
    <m/>
    <m/>
  </r>
  <r>
    <x v="197"/>
    <s v="Credit telephonique MTN PALF/ du 18 au 31 Août 2025/Abraham"/>
    <s v="Telephone"/>
    <s v="Legal"/>
    <n v="5000"/>
    <n v="8.9135775178182417"/>
    <n v="560.94200000000001"/>
    <s v="Abraham"/>
    <s v="AB-AU-R1"/>
    <s v="PALF"/>
    <x v="5"/>
    <s v="Congo"/>
    <m/>
    <m/>
    <m/>
  </r>
  <r>
    <x v="197"/>
    <s v="Credit telephonique Airtel PALF/ du 18 au 31 Août 2025/Abraham"/>
    <s v="Telephone"/>
    <s v="Legal"/>
    <n v="5000"/>
    <n v="8.9135775178182417"/>
    <n v="560.94200000000001"/>
    <s v="Abraham"/>
    <s v="AB-AU-R2"/>
    <s v="PALF"/>
    <x v="5"/>
    <s v="Congo"/>
    <m/>
    <m/>
    <m/>
  </r>
  <r>
    <x v="197"/>
    <s v="Taxi:Bureau-Agence Trans bony de la frontiere pour la réservation du billet"/>
    <s v="Transport"/>
    <s v="Legal"/>
    <n v="1000"/>
    <n v="1.7827155035636482"/>
    <n v="560.94200000000001"/>
    <s v="Roderlin"/>
    <s v="RO-AU-D1"/>
    <s v="PALF"/>
    <x v="5"/>
    <s v="Congo"/>
    <m/>
    <m/>
    <m/>
  </r>
  <r>
    <x v="197"/>
    <s v=" Achat billet Brazzaville-Loudima/ Roderlin"/>
    <s v="Transport"/>
    <s v="Legal"/>
    <n v="8000"/>
    <n v="14.261724028509185"/>
    <n v="560.94200000000001"/>
    <s v="Roderlin"/>
    <s v="RO-AU-R1"/>
    <s v="PALF"/>
    <x v="5"/>
    <s v="Congo"/>
    <m/>
    <m/>
    <m/>
  </r>
  <r>
    <x v="197"/>
    <s v="Taxi:Agence trans bony de la frontiere-Bureau"/>
    <s v="Transport"/>
    <s v="Legal"/>
    <n v="1000"/>
    <n v="1.7827155035636482"/>
    <n v="560.94200000000001"/>
    <s v="Roderlin"/>
    <s v="RO-AU-D1"/>
    <s v="PALF"/>
    <x v="5"/>
    <s v="Congo"/>
    <m/>
    <m/>
    <m/>
  </r>
  <r>
    <x v="197"/>
    <s v="Credit telephonique MTN PALF/du 18 au 31 Août 2025/Roderlin"/>
    <s v="Telephone"/>
    <s v="Legal"/>
    <n v="10000"/>
    <n v="17.827155035636483"/>
    <n v="560.94200000000001"/>
    <s v="Roderlin"/>
    <s v="RO-AU-R2"/>
    <s v="PALF"/>
    <x v="5"/>
    <s v="Congo"/>
    <m/>
    <m/>
    <m/>
  </r>
  <r>
    <x v="197"/>
    <s v="Taxi Hôtel Mithé-Charden farell/ Retrait des fonds"/>
    <s v="Transport "/>
    <s v="Legal"/>
    <n v="500"/>
    <n v="0.89135775178182408"/>
    <n v="560.94200000000001"/>
    <s v="Donald-Romeo"/>
    <s v="DR-AU-D1"/>
    <s v="PALF"/>
    <x v="5"/>
    <s v="Congo"/>
    <m/>
    <m/>
    <m/>
  </r>
  <r>
    <x v="197"/>
    <s v="Taxi Charden farell-Hôtel Mithé"/>
    <s v="Transport "/>
    <s v="Legal"/>
    <n v="500"/>
    <n v="0.89135775178182408"/>
    <n v="560.94200000000001"/>
    <s v="Donald-Romeo"/>
    <s v="DR-AU-D1"/>
    <s v="PALF"/>
    <x v="5"/>
    <s v="Congo"/>
    <m/>
    <m/>
    <m/>
  </r>
  <r>
    <x v="197"/>
    <s v="Credit telephonique MTN PALF/du 18 au 31 Août 2025"/>
    <s v="Telephone"/>
    <s v="Legal"/>
    <n v="10000"/>
    <n v="17.827155035636483"/>
    <n v="560.94200000000001"/>
    <s v="Donald-Romeo"/>
    <s v="DR-AU-R5"/>
    <s v="PALF"/>
    <x v="5"/>
    <s v="Congo"/>
    <m/>
    <m/>
    <m/>
  </r>
  <r>
    <x v="197"/>
    <s v="Credit telephonique MTN PALF/du 18 au 31 Août 2025"/>
    <s v="Telephone"/>
    <s v="Media"/>
    <n v="10000"/>
    <n v="17.827155035636483"/>
    <n v="560.94200000000001"/>
    <s v="Evariste"/>
    <s v="EV-AU-R5"/>
    <s v="PALF"/>
    <x v="5"/>
    <s v="Congo"/>
    <m/>
    <m/>
    <m/>
  </r>
  <r>
    <x v="197"/>
    <s v="Credit telephonique MTN PALF/du 18 au 31 Août2025/Romain"/>
    <s v="Telephone"/>
    <s v="Legal"/>
    <n v="10000"/>
    <n v="17.827155035636483"/>
    <n v="560.94200000000001"/>
    <s v="Romain"/>
    <s v="RM-AU-R1"/>
    <s v="PALF"/>
    <x v="5"/>
    <s v="Congo"/>
    <m/>
    <m/>
    <m/>
  </r>
  <r>
    <x v="198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98"/>
    <s v="Bureau-Cabinet d'huissier"/>
    <s v="Transport"/>
    <s v="Management"/>
    <n v="1000"/>
    <n v="1.7827155035636482"/>
    <n v="560.94200000000001"/>
    <s v="DOVI"/>
    <s v="DH-AU-D1"/>
    <s v="PALF"/>
    <x v="5"/>
    <s v="Congo"/>
    <m/>
    <m/>
    <m/>
  </r>
  <r>
    <x v="198"/>
    <s v="Cabinet d'huissier - 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98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198"/>
    <s v="Taxi:  Bureau- Cabinet d'avocat/Depot  de notification de suspension contat Mervielle"/>
    <s v="Transport"/>
    <s v="Office"/>
    <n v="1000"/>
    <n v="1.7827155035636482"/>
    <n v="560.94200000000001"/>
    <s v="Parfaite"/>
    <s v="P-AU-D1"/>
    <s v="PALF"/>
    <x v="5"/>
    <s v="Congo"/>
    <m/>
    <m/>
    <m/>
  </r>
  <r>
    <x v="198"/>
    <s v="Taxi:  Cabinet d'Avocat - Banque/Paiement frais de notification contrat romain ACPE"/>
    <s v="Transport"/>
    <s v="Office"/>
    <n v="1000"/>
    <n v="1.7827155035636482"/>
    <n v="560.94200000000001"/>
    <s v="Parfaite"/>
    <s v="P-AU-D1"/>
    <s v="PALF"/>
    <x v="5"/>
    <s v="Congo"/>
    <m/>
    <m/>
    <m/>
  </r>
  <r>
    <x v="198"/>
    <s v="Taxi:  Banque-Bureau /Paiement frais de notification contrat romain ACPE "/>
    <s v="Transport"/>
    <s v="Office"/>
    <n v="1000"/>
    <n v="1.7827155035636482"/>
    <n v="560.94200000000001"/>
    <s v="Parfaite"/>
    <s v="P-AU-D1"/>
    <s v="PALF"/>
    <x v="5"/>
    <s v="Congo"/>
    <m/>
    <m/>
    <m/>
  </r>
  <r>
    <x v="198"/>
    <s v="Taxi: Bureau - Super Marché / Achat produit d'entretien  bureau PALF"/>
    <s v="Transport"/>
    <s v="Office"/>
    <n v="1000"/>
    <n v="1.7827155035636482"/>
    <n v="560.94200000000001"/>
    <s v="Parfaite"/>
    <s v="P-AU-D1"/>
    <s v="PALF"/>
    <x v="5"/>
    <s v="Congo"/>
    <m/>
    <m/>
    <m/>
  </r>
  <r>
    <x v="198"/>
    <s v="Taxi: Super Marché  - Bureau/ Achat produit d'entretien  bureau PALF"/>
    <s v="Transport"/>
    <s v="Office"/>
    <n v="1000"/>
    <n v="1.7827155035636482"/>
    <n v="560.94200000000001"/>
    <s v="Parfaite"/>
    <s v="P-AU-D1"/>
    <s v="PALF"/>
    <x v="5"/>
    <s v="Congo"/>
    <m/>
    <m/>
    <m/>
  </r>
  <r>
    <x v="198"/>
    <s v="Frais de notification contrat Romain"/>
    <s v="Personnel"/>
    <s v="Legal"/>
    <n v="10500"/>
    <n v="18.718512787418305"/>
    <n v="560.94200000000001"/>
    <s v="Parfaite"/>
    <s v="CA-AU-R4"/>
    <s v="PALF"/>
    <x v="5"/>
    <s v="Congo"/>
    <m/>
    <m/>
    <m/>
  </r>
  <r>
    <x v="198"/>
    <s v="Achat produit d'entretien lait,sucre,javel,papier toilette,sac poubelle,savon/Bureau PALF"/>
    <s v="Office Materiels"/>
    <s v="Office"/>
    <n v="52550"/>
    <n v="93.681699712269719"/>
    <n v="560.94200000000001"/>
    <s v="Parfaite"/>
    <s v="CA-AU-R5"/>
    <s v="PALF"/>
    <x v="5"/>
    <s v="Congo"/>
    <m/>
    <m/>
    <m/>
  </r>
  <r>
    <x v="198"/>
    <s v="Taxi tricycle hotel-angola,pour réperage"/>
    <s v="Transport"/>
    <s v="Investigation"/>
    <n v="1000"/>
    <n v="1.7827155035636482"/>
    <n v="560.94200000000001"/>
    <s v="P29"/>
    <s v="P29-AU-D1"/>
    <s v="PALF"/>
    <x v="5"/>
    <s v="Congo"/>
    <m/>
    <m/>
    <m/>
  </r>
  <r>
    <x v="198"/>
    <s v="Taxi tricycle angola-bakadi,pour reperage"/>
    <s v="Transport"/>
    <s v="Investigation"/>
    <n v="1000"/>
    <n v="1.7827155035636482"/>
    <n v="560.94200000000001"/>
    <s v="P29"/>
    <s v="P29-AU-D1"/>
    <s v="PALF"/>
    <x v="5"/>
    <s v="Congo"/>
    <m/>
    <m/>
    <m/>
  </r>
  <r>
    <x v="198"/>
    <s v="Taxi moto bakadi-tossagana,pour reperage"/>
    <s v="Transport"/>
    <s v="Investigation"/>
    <n v="500"/>
    <n v="0.89135775178182408"/>
    <n v="560.94200000000001"/>
    <s v="P29"/>
    <s v="P29-AU-D1"/>
    <s v="PALF"/>
    <x v="5"/>
    <s v="Congo"/>
    <m/>
    <m/>
    <m/>
  </r>
  <r>
    <x v="198"/>
    <s v="Taxi tricycle tossagana-mougougui,pour reperage"/>
    <s v="Transport"/>
    <s v="Investigation"/>
    <n v="1000"/>
    <n v="1.7827155035636482"/>
    <n v="560.94200000000001"/>
    <s v="P29"/>
    <s v="P29-AU-D1"/>
    <s v="PALF"/>
    <x v="5"/>
    <s v="Congo"/>
    <m/>
    <m/>
    <m/>
  </r>
  <r>
    <x v="198"/>
    <s v="Taxi tricycle mougougui-aeroport,pour reperage"/>
    <s v="Transport"/>
    <s v="Investigation"/>
    <n v="1000"/>
    <n v="1.7827155035636482"/>
    <n v="560.94200000000001"/>
    <s v="P29"/>
    <s v="P29-AU-D1"/>
    <s v="PALF"/>
    <x v="5"/>
    <s v="Congo"/>
    <m/>
    <m/>
    <m/>
  </r>
  <r>
    <x v="198"/>
    <s v="Taxi moto aeroport-hotel"/>
    <s v="Transport"/>
    <s v="Investigation"/>
    <n v="500"/>
    <n v="0.89135775178182408"/>
    <n v="560.94200000000001"/>
    <s v="P29"/>
    <s v="P29-AU-D1"/>
    <s v="PALF"/>
    <x v="5"/>
    <s v="Congo"/>
    <m/>
    <m/>
    <m/>
  </r>
  <r>
    <x v="198"/>
    <s v="Taxi moto : hotel - parking (départ pour dangou)"/>
    <s v="Transport"/>
    <s v="Investigation"/>
    <n v="500"/>
    <n v="0.89135775178182408"/>
    <n v="560.94200000000001"/>
    <s v="T73"/>
    <s v="T73-AU-D1"/>
    <s v="PALF"/>
    <x v="5"/>
    <s v="Congo"/>
    <m/>
    <m/>
    <m/>
  </r>
  <r>
    <x v="198"/>
    <s v="Achat billet  Impfondo - Dangou/T73"/>
    <s v="Transport"/>
    <s v="Investigation"/>
    <n v="10000"/>
    <n v="17.827155035636483"/>
    <n v="560.94200000000001"/>
    <s v="T73"/>
    <s v="T73-AU-R7"/>
    <s v="PALF"/>
    <x v="5"/>
    <s v="Congo"/>
    <m/>
    <m/>
    <m/>
  </r>
  <r>
    <x v="198"/>
    <s v="Taxi moto : parking - domicile ( cible)"/>
    <s v="Transport"/>
    <s v="Investigation"/>
    <n v="500"/>
    <n v="0.89135775178182408"/>
    <n v="560.94200000000001"/>
    <s v="T73"/>
    <s v="T73-AU-D1"/>
    <s v="PALF"/>
    <x v="5"/>
    <s v="Congo"/>
    <m/>
    <m/>
    <m/>
  </r>
  <r>
    <x v="198"/>
    <s v="Taxi moto : domicile ( cible) - restaurant"/>
    <s v="Transport"/>
    <s v="Investigation"/>
    <n v="500"/>
    <n v="0.89135775178182408"/>
    <n v="560.94200000000001"/>
    <s v="T73"/>
    <s v="T73-AU-D1"/>
    <s v="PALF"/>
    <x v="5"/>
    <s v="Congo"/>
    <m/>
    <m/>
    <m/>
  </r>
  <r>
    <x v="198"/>
    <s v="Taxi moto : restaurant - parking"/>
    <s v="Transport"/>
    <s v="Investigation"/>
    <n v="500"/>
    <n v="0.89135775178182408"/>
    <n v="560.94200000000001"/>
    <s v="T73"/>
    <s v="T73-AU-D1"/>
    <s v="PALF"/>
    <x v="5"/>
    <s v="Congo"/>
    <m/>
    <m/>
    <m/>
  </r>
  <r>
    <x v="198"/>
    <s v="Achat billet  Dangou - Impfondo/T73"/>
    <s v="Transport"/>
    <s v="Investigation"/>
    <n v="10000"/>
    <n v="17.827155035636483"/>
    <n v="560.94200000000001"/>
    <s v="T73"/>
    <s v="T73-AU-R8"/>
    <s v="PALF"/>
    <x v="5"/>
    <s v="Congo"/>
    <m/>
    <m/>
    <m/>
  </r>
  <r>
    <x v="198"/>
    <s v="Taxi moto : parking - hotel KB fils"/>
    <s v="Transport"/>
    <s v="Investigation"/>
    <n v="500"/>
    <n v="0.89135775178182408"/>
    <n v="560.94200000000001"/>
    <s v="T73"/>
    <s v="T73-AU-D1"/>
    <s v="PALF"/>
    <x v="5"/>
    <s v="Congo"/>
    <m/>
    <m/>
    <m/>
  </r>
  <r>
    <x v="198"/>
    <s v="IT87-CONGO Ration du 19 au 24/08/2025 à Djambala, Ngo, Inoni"/>
    <s v="Travel Subsistence"/>
    <s v="Investigation"/>
    <n v="50000"/>
    <n v="89.135775178182413"/>
    <n v="560.94200000000001"/>
    <s v="IT87"/>
    <s v="IT87-AU-D2"/>
    <s v="PALF"/>
    <x v="5"/>
    <s v="Congo"/>
    <m/>
    <m/>
    <m/>
  </r>
  <r>
    <x v="198"/>
    <s v="Taxi : Domicile - Agence Trans bony/ Départ de Brazzaville pour Djambala par Ngo"/>
    <s v="Transport"/>
    <s v="Investigation"/>
    <n v="2000"/>
    <n v="3.5654310071272963"/>
    <n v="560.94200000000001"/>
    <s v="IT87"/>
    <s v="IT87-AU-D1"/>
    <s v="PALF"/>
    <x v="5"/>
    <s v="Congo"/>
    <m/>
    <m/>
    <m/>
  </r>
  <r>
    <x v="198"/>
    <s v="Taxi : Agence trans bony Ngo - Parking/ Arrivé à Ngo"/>
    <s v="Transport"/>
    <s v="Investigation"/>
    <n v="500"/>
    <n v="0.89135775178182408"/>
    <n v="560.94200000000001"/>
    <s v="IT87"/>
    <s v="IT87-AU-D1"/>
    <s v="PALF"/>
    <x v="5"/>
    <s v="Congo"/>
    <m/>
    <m/>
    <m/>
  </r>
  <r>
    <x v="198"/>
    <s v="Achat billet Ngo - Djambala/ IT87"/>
    <s v="Transport"/>
    <s v="Investigation"/>
    <n v="4000"/>
    <n v="7.1308620142545927"/>
    <n v="560.94200000000001"/>
    <s v="IT87"/>
    <s v="IT87-AU-R4"/>
    <s v="PALF"/>
    <x v="5"/>
    <s v="Congo"/>
    <m/>
    <m/>
    <m/>
  </r>
  <r>
    <x v="198"/>
    <s v="Taxi : Parking - Hôtel/ Arrivé à Djambala"/>
    <s v="Transport"/>
    <s v="Investigation"/>
    <n v="500"/>
    <n v="0.89135775178182408"/>
    <n v="560.94200000000001"/>
    <s v="IT87"/>
    <s v="IT87-AU-D1"/>
    <s v="PALF"/>
    <x v="5"/>
    <s v="Congo"/>
    <m/>
    <m/>
    <m/>
  </r>
  <r>
    <x v="198"/>
    <s v="G12-CONGO Ration du 19 au 23/08/2025 à Pointe Noire, Nzassi et Hinda"/>
    <s v="Travel Subsistence"/>
    <s v="Investigation"/>
    <n v="50000"/>
    <n v="89.135775178182413"/>
    <n v="560.94200000000001"/>
    <s v="G12"/>
    <s v="G12-AU-D2"/>
    <s v="PALF"/>
    <x v="5"/>
    <s v="Congo"/>
    <m/>
    <m/>
    <m/>
  </r>
  <r>
    <x v="198"/>
    <s v="Taxi: Domicile- agence"/>
    <s v="Transport"/>
    <s v="Investigation"/>
    <n v="1000"/>
    <n v="1.7827155035636482"/>
    <n v="560.94200000000001"/>
    <s v="G12"/>
    <s v="G12-AU-D1"/>
    <s v="PALF"/>
    <x v="5"/>
    <s v="Congo"/>
    <m/>
    <m/>
    <m/>
  </r>
  <r>
    <x v="198"/>
    <s v="Taxi: Agence - hotel"/>
    <s v="Transport"/>
    <s v="Investigation"/>
    <n v="1000"/>
    <n v="1.7827155035636482"/>
    <n v="560.94200000000001"/>
    <s v="G12"/>
    <s v="G12-AU-D1"/>
    <s v="PALF"/>
    <x v="5"/>
    <s v="Congo"/>
    <m/>
    <m/>
    <m/>
  </r>
  <r>
    <x v="198"/>
    <s v="Taxi:Domicile-Agence Trans bony de kintélé"/>
    <s v="Transport"/>
    <s v="Legal"/>
    <n v="1000"/>
    <n v="1.7827155035636482"/>
    <n v="560.94200000000001"/>
    <s v="Roderlin"/>
    <s v="RO-AU-D1"/>
    <s v="PALF"/>
    <x v="5"/>
    <s v="Congo"/>
    <m/>
    <m/>
    <m/>
  </r>
  <r>
    <x v="198"/>
    <s v=" Achat billet Loudima-Sibiti/ Roderlin"/>
    <s v="Transport"/>
    <s v="Legal"/>
    <n v="4000"/>
    <n v="7.1308620142545927"/>
    <n v="560.94200000000001"/>
    <s v="Roderlin"/>
    <s v="RO-AU-R3"/>
    <s v="PALF"/>
    <x v="5"/>
    <s v="Congo"/>
    <m/>
    <m/>
    <m/>
  </r>
  <r>
    <x v="198"/>
    <s v="Taxi-moto: La gare routiere de Sibiti-Hôtel le papyrus "/>
    <s v="Transport"/>
    <s v="Legal"/>
    <n v="500"/>
    <n v="0.89135775178182408"/>
    <n v="560.94200000000001"/>
    <s v="Roderlin"/>
    <s v="RO-AU-D1"/>
    <s v="PALF"/>
    <x v="5"/>
    <s v="Congo"/>
    <m/>
    <m/>
    <m/>
  </r>
  <r>
    <x v="198"/>
    <s v="Taxi-moto:Hôtel le papyrus-Marché pour l'achat de la ration du  prevenu"/>
    <s v="Transport"/>
    <s v="Legal"/>
    <n v="300"/>
    <n v="0.53481465106909443"/>
    <n v="560.94200000000001"/>
    <s v="Roderlin"/>
    <s v="RO-AU-D1"/>
    <s v="PALF"/>
    <x v="5"/>
    <s v="Congo"/>
    <m/>
    <m/>
    <m/>
  </r>
  <r>
    <x v="198"/>
    <s v="Ration  du prevenu MANKOUSSOU Auzere à la maison d'arrêt de Sibiti/soir"/>
    <s v="Jail visit"/>
    <s v="Legal"/>
    <n v="1500"/>
    <n v="2.6740732553454722"/>
    <n v="560.94200000000001"/>
    <s v="Roderlin"/>
    <s v="RO-AU-D3"/>
    <s v="PALF"/>
    <x v="5"/>
    <s v="Congo"/>
    <m/>
    <m/>
    <m/>
  </r>
  <r>
    <x v="198"/>
    <s v="Taxi-moto:Marché-Maison d'arrêt de Sibiti"/>
    <s v="Transport"/>
    <s v="Legal"/>
    <n v="300"/>
    <n v="0.53481465106909443"/>
    <n v="560.94200000000001"/>
    <s v="Roderlin"/>
    <s v="RO-AU-D1"/>
    <s v="PALF"/>
    <x v="5"/>
    <s v="Congo"/>
    <m/>
    <m/>
    <m/>
  </r>
  <r>
    <x v="198"/>
    <s v="Taxi-moto:Maison d'arrêt de Sibiti-Hôtel le papyrus"/>
    <s v="Transport"/>
    <s v="Legal"/>
    <n v="300"/>
    <n v="0.53481465106909443"/>
    <n v="560.94200000000001"/>
    <s v="Roderlin"/>
    <s v="RO-AU-D1"/>
    <s v="PALF"/>
    <x v="5"/>
    <s v="Congo"/>
    <m/>
    <m/>
    <m/>
  </r>
  <r>
    <x v="198"/>
    <s v="RODERLIN-CONGO Ration du 19 au 21/08/2025 à Sibiti (02 nuitées)"/>
    <s v="Travel Subsistence"/>
    <s v="Legal"/>
    <n v="20000"/>
    <n v="35.654310071272967"/>
    <n v="560.94200000000001"/>
    <s v="Roderlin"/>
    <s v="RO-AU-D2"/>
    <s v="PALF"/>
    <x v="5"/>
    <s v="Congo"/>
    <m/>
    <m/>
    <m/>
  </r>
  <r>
    <x v="198"/>
    <s v="Taxi: Bureau Agence Trans Bony de la Frontière"/>
    <s v="Transport"/>
    <s v="Legal"/>
    <n v="1000"/>
    <n v="1.7827155035636482"/>
    <n v="560.94200000000001"/>
    <s v="Romain"/>
    <s v="RM-AU-D1"/>
    <s v="PALF"/>
    <x v="5"/>
    <s v="Congo"/>
    <m/>
    <m/>
    <m/>
  </r>
  <r>
    <x v="198"/>
    <s v="Taxi: Agence Trans Bony de la Frontière-Agence Trans Bony de Diata"/>
    <s v="Transport"/>
    <s v="Legal"/>
    <n v="1000"/>
    <n v="1.7827155035636482"/>
    <n v="560.94200000000001"/>
    <s v="Romain"/>
    <s v="RM-AU-D1"/>
    <s v="PALF"/>
    <x v="5"/>
    <s v="Congo"/>
    <m/>
    <m/>
    <m/>
  </r>
  <r>
    <x v="198"/>
    <s v="Taxi: Agence Trans Bony de Diata-Bureau"/>
    <s v="Transport"/>
    <s v="Legal"/>
    <n v="1000"/>
    <n v="1.7827155035636482"/>
    <n v="560.94200000000001"/>
    <s v="Romain"/>
    <s v="RM-AU-D1"/>
    <s v="PALF"/>
    <x v="5"/>
    <s v="Congo"/>
    <m/>
    <m/>
    <m/>
  </r>
  <r>
    <x v="199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199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199"/>
    <s v="Taxi: Bureau - Charden Farell/transfert d'argent à G12 et IT87"/>
    <s v="Transport"/>
    <s v="Office"/>
    <n v="500"/>
    <n v="0.89135775178182408"/>
    <n v="560.94200000000001"/>
    <s v="Parfaite"/>
    <s v="P-AU-D1"/>
    <s v="PALF"/>
    <x v="5"/>
    <s v="Congo"/>
    <m/>
    <m/>
    <m/>
  </r>
  <r>
    <x v="199"/>
    <s v="Taxi: Charden Farell- Bureau/transferft d'argent"/>
    <s v="Transport"/>
    <s v="Office"/>
    <n v="500"/>
    <n v="0.89135775178182408"/>
    <n v="560.94200000000001"/>
    <s v="Parfaite"/>
    <s v="P-AU-D1"/>
    <s v="PALF"/>
    <x v="5"/>
    <s v="Congo"/>
    <m/>
    <m/>
    <m/>
  </r>
  <r>
    <x v="199"/>
    <s v="Frais de tansfert d'argent à G12 et IT87"/>
    <s v="Transfert fees"/>
    <s v="Office"/>
    <n v="3180"/>
    <n v="5.6690353013324017"/>
    <n v="560.94200000000001"/>
    <s v="Parfaite"/>
    <s v="CA-AU-R6"/>
    <s v="PALF"/>
    <x v="5"/>
    <s v="Congo"/>
    <m/>
    <m/>
    <m/>
  </r>
  <r>
    <x v="199"/>
    <s v="Taxi tricycle hotel kb fils-hotel mithe,travail avec l'équipe"/>
    <s v="Transport"/>
    <s v="Investigation"/>
    <n v="1000"/>
    <n v="1.7827155035636482"/>
    <n v="560.94200000000001"/>
    <s v="P29"/>
    <s v="P29-AU-D1"/>
    <s v="PALF"/>
    <x v="5"/>
    <s v="Congo"/>
    <m/>
    <m/>
    <m/>
  </r>
  <r>
    <x v="199"/>
    <s v="Taxi tricycle hotel mithe-hotel kb fils"/>
    <s v="Transport"/>
    <s v="Investigation"/>
    <n v="1000"/>
    <n v="1.7827155035636482"/>
    <n v="560.94200000000001"/>
    <s v="P29"/>
    <s v="P29-AU-D1"/>
    <s v="PALF"/>
    <x v="5"/>
    <s v="Congo"/>
    <m/>
    <m/>
    <m/>
  </r>
  <r>
    <x v="199"/>
    <s v="Taxi tricycle hotel kb fils-hotel mithe,travail avec l'équipe"/>
    <s v="Transport"/>
    <s v="Investigation"/>
    <n v="1000"/>
    <n v="1.7827155035636482"/>
    <n v="560.94200000000001"/>
    <s v="P29"/>
    <s v="P29-AU-D1"/>
    <s v="PALF"/>
    <x v="5"/>
    <s v="Congo"/>
    <m/>
    <m/>
    <m/>
  </r>
  <r>
    <x v="199"/>
    <s v="Taxi tricycle hotel mithe-hotel kb fils"/>
    <s v="Transport"/>
    <s v="Investigation"/>
    <n v="1000"/>
    <n v="1.7827155035636482"/>
    <n v="560.94200000000001"/>
    <s v="P29"/>
    <s v="P29-AU-D1"/>
    <s v="PALF"/>
    <x v="5"/>
    <s v="Congo"/>
    <m/>
    <m/>
    <m/>
  </r>
  <r>
    <x v="199"/>
    <s v="Taxi moto : hotel KB fils - hotel mithe (reunion avec l'équipe)"/>
    <s v="Transport"/>
    <s v="Investigation"/>
    <n v="500"/>
    <n v="0.89135775178182408"/>
    <n v="560.94200000000001"/>
    <s v="T73"/>
    <s v="T73-AU-D1"/>
    <s v="PALF"/>
    <x v="5"/>
    <s v="Congo"/>
    <m/>
    <m/>
    <m/>
  </r>
  <r>
    <x v="199"/>
    <s v="Taxi moto : hotel mithe - KB fils  (reunion avec l'équipe)"/>
    <s v="Transport"/>
    <s v="Investigation"/>
    <n v="500"/>
    <n v="0.89135775178182408"/>
    <n v="560.94200000000001"/>
    <s v="T73"/>
    <s v="T73-AU-D1"/>
    <s v="PALF"/>
    <x v="5"/>
    <s v="Congo"/>
    <m/>
    <m/>
    <m/>
  </r>
  <r>
    <x v="199"/>
    <s v="Taxi moto : Hôtel - Marché/ Prospection"/>
    <s v="Transport"/>
    <s v="Investigation"/>
    <n v="500"/>
    <n v="0.89135775178182408"/>
    <n v="560.94200000000001"/>
    <s v="IT87"/>
    <s v="IT87-AU-D1"/>
    <s v="PALF"/>
    <x v="5"/>
    <s v="Congo"/>
    <m/>
    <m/>
    <m/>
  </r>
  <r>
    <x v="199"/>
    <s v="Achat boissons avec une cible"/>
    <s v="Trust Building"/>
    <s v="Investigation"/>
    <n v="1500"/>
    <n v="2.6740732553454722"/>
    <n v="560.94200000000001"/>
    <s v="IT87"/>
    <s v="IT87-AU-D3"/>
    <s v="PALF"/>
    <x v="5"/>
    <s v="Congo"/>
    <m/>
    <m/>
    <m/>
  </r>
  <r>
    <x v="199"/>
    <s v="Taxi moto : Marché - Centre ville/ Prospection"/>
    <s v="Transport"/>
    <s v="Investigation"/>
    <n v="500"/>
    <n v="0.89135775178182408"/>
    <n v="560.94200000000001"/>
    <s v="IT87"/>
    <s v="IT87-AU-D1"/>
    <s v="PALF"/>
    <x v="5"/>
    <s v="Congo"/>
    <m/>
    <m/>
    <m/>
  </r>
  <r>
    <x v="199"/>
    <s v="Taxi moto : Centre ville - Charden Farel/ Retrait budget"/>
    <s v="Transport"/>
    <s v="Investigation"/>
    <n v="500"/>
    <n v="0.89135775178182408"/>
    <n v="560.94200000000001"/>
    <s v="IT87"/>
    <s v="IT87-AU-D1"/>
    <s v="PALF"/>
    <x v="5"/>
    <s v="Congo"/>
    <m/>
    <m/>
    <m/>
  </r>
  <r>
    <x v="199"/>
    <s v="Taxi moto : Charden Farel - Avenue de l'Entente/ Prospection"/>
    <s v="Transport"/>
    <s v="Investigation"/>
    <n v="500"/>
    <n v="0.89135775178182408"/>
    <n v="560.94200000000001"/>
    <s v="IT87"/>
    <s v="IT87-AU-D1"/>
    <s v="PALF"/>
    <x v="5"/>
    <s v="Congo"/>
    <m/>
    <m/>
    <m/>
  </r>
  <r>
    <x v="199"/>
    <s v="Taxi moto : Avenue de l'entente - Hôtel/ Retour de prospection"/>
    <s v="Transport"/>
    <s v="Investigation"/>
    <n v="500"/>
    <n v="0.89135775178182408"/>
    <n v="560.94200000000001"/>
    <s v="IT87"/>
    <s v="IT87-AU-D1"/>
    <s v="PALF"/>
    <x v="5"/>
    <s v="Congo"/>
    <m/>
    <m/>
    <m/>
  </r>
  <r>
    <x v="199"/>
    <s v="Taxi: Hotel- quartier mvumvu"/>
    <s v="Transport"/>
    <s v="Investigation"/>
    <n v="1000"/>
    <n v="1.7827155035636482"/>
    <n v="560.94200000000001"/>
    <s v="G12"/>
    <s v="G12-AU-D1"/>
    <s v="PALF"/>
    <x v="5"/>
    <s v="Congo"/>
    <m/>
    <m/>
    <m/>
  </r>
  <r>
    <x v="199"/>
    <s v="Taxi: marché mvumvu - fond de tié tié"/>
    <s v="Transport"/>
    <s v="Investigation"/>
    <n v="1000"/>
    <n v="1.7827155035636482"/>
    <n v="560.94200000000001"/>
    <s v="G12"/>
    <s v="G12-AU-D1"/>
    <s v="PALF"/>
    <x v="5"/>
    <s v="Congo"/>
    <m/>
    <m/>
    <m/>
  </r>
  <r>
    <x v="199"/>
    <s v="Taxi : Fond tié tié - charden farell "/>
    <s v="Transport"/>
    <s v="Investigation"/>
    <n v="1000"/>
    <n v="1.7827155035636482"/>
    <n v="560.94200000000001"/>
    <s v="G12"/>
    <s v="G12-AU-D1"/>
    <s v="PALF"/>
    <x v="5"/>
    <s v="Congo"/>
    <m/>
    <m/>
    <m/>
  </r>
  <r>
    <x v="199"/>
    <s v="Taxi: Charden farell- marché oui"/>
    <s v="Transport"/>
    <s v="Investigation"/>
    <n v="1000"/>
    <n v="1.7827155035636482"/>
    <n v="560.94200000000001"/>
    <s v="G12"/>
    <s v="G12-AU-D1"/>
    <s v="PALF"/>
    <x v="5"/>
    <s v="Congo"/>
    <m/>
    <m/>
    <m/>
  </r>
  <r>
    <x v="199"/>
    <s v="Achat boisson 1 cible"/>
    <s v="Trust Building"/>
    <s v="Investigation"/>
    <n v="1000"/>
    <n v="1.7827155035636482"/>
    <n v="560.94200000000001"/>
    <s v="G12"/>
    <s v="G12-AU-D3"/>
    <s v="PALF"/>
    <x v="5"/>
    <s v="Congo"/>
    <m/>
    <m/>
    <m/>
  </r>
  <r>
    <x v="199"/>
    <s v=" Taxi:Marché oui - hotel"/>
    <s v="Transport"/>
    <s v="Investigation"/>
    <n v="1000"/>
    <n v="1.7827155035636482"/>
    <n v="560.94200000000001"/>
    <s v="G12"/>
    <s v="G12-AU-D1"/>
    <s v="PALF"/>
    <x v="5"/>
    <s v="Congo"/>
    <m/>
    <m/>
    <m/>
  </r>
  <r>
    <x v="199"/>
    <s v="Achat billet Brazzaville-Dolisie (Au nom de LOUNDOU Jean Romain)"/>
    <s v="Transport"/>
    <s v="Legal"/>
    <n v="9000"/>
    <n v="16.044439532072836"/>
    <n v="560.94200000000001"/>
    <s v="Abraham"/>
    <s v="AB-AU-R3"/>
    <s v="PALF"/>
    <x v="5"/>
    <s v="Congo"/>
    <m/>
    <m/>
    <m/>
  </r>
  <r>
    <x v="199"/>
    <s v="ABRAHAM - CONGO Ration du 20 au 22/08/2025 à Dolisie (02 Nuitées)"/>
    <s v="Travel Subsistence"/>
    <s v="Legal"/>
    <n v="20000"/>
    <n v="35.654310071272967"/>
    <n v="560.94200000000001"/>
    <s v="Abraham"/>
    <s v="AB-AU-D2"/>
    <s v="PALF"/>
    <x v="5"/>
    <s v="Congo"/>
    <m/>
    <m/>
    <m/>
  </r>
  <r>
    <x v="199"/>
    <s v="Taxi:Domicile-Agence Tranbony de La frontière/ Prendre le depart pour Dolisie"/>
    <s v="Transport"/>
    <s v="Legal"/>
    <n v="1000"/>
    <n v="1.7827155035636482"/>
    <n v="560.94200000000001"/>
    <s v="Abraham"/>
    <s v="AB-AU-D1"/>
    <s v="PALF"/>
    <x v="5"/>
    <s v="Congo"/>
    <m/>
    <m/>
    <m/>
  </r>
  <r>
    <x v="199"/>
    <s v="Taxi:Agence Transbony de Dolisie-Auberge Moukondo"/>
    <s v="Transport"/>
    <s v="Legal"/>
    <n v="1000"/>
    <n v="1.7827155035636482"/>
    <n v="560.94200000000001"/>
    <s v="Abraham"/>
    <s v="AB-AU-D1"/>
    <s v="PALF"/>
    <x v="5"/>
    <s v="Congo"/>
    <m/>
    <m/>
    <m/>
  </r>
  <r>
    <x v="199"/>
    <s v="Taxi:Auberge Moukondo-Maison d'arrêt de Dolisie"/>
    <s v="Transport"/>
    <s v="Legal"/>
    <n v="1000"/>
    <n v="1.7827155035636482"/>
    <n v="560.94200000000001"/>
    <s v="Abraham"/>
    <s v="AB-AU-D1"/>
    <s v="PALF"/>
    <x v="5"/>
    <s v="Congo"/>
    <m/>
    <m/>
    <m/>
  </r>
  <r>
    <x v="199"/>
    <s v="Ration/ Soir 5 détenus à la maison d'arrêt de Dolisie/ détenus visités: MBOUNGOU Dropsy, KISSAMBOU Yvon, PAMBOU Alain, BALENDA Jean Jacques, IVOUVOU"/>
    <s v="Jail visit"/>
    <s v="Legal"/>
    <n v="7500"/>
    <n v="13.370366276727362"/>
    <n v="560.94200000000001"/>
    <s v="Abraham"/>
    <s v="AB-AU-D3"/>
    <s v="PALF"/>
    <x v="5"/>
    <s v="Congo"/>
    <m/>
    <m/>
    <m/>
  </r>
  <r>
    <x v="199"/>
    <s v="Taxi:Maison d'arrêt de Dolisie-Auberge Moukondo"/>
    <s v="Transport"/>
    <s v="Legal"/>
    <n v="1000"/>
    <n v="1.7827155035636482"/>
    <n v="560.94200000000001"/>
    <s v="Abraham"/>
    <s v="AB-AU-D1"/>
    <s v="PALF"/>
    <x v="5"/>
    <s v="Congo"/>
    <m/>
    <m/>
    <m/>
  </r>
  <r>
    <x v="199"/>
    <s v="Taxi-moto:Hôtel le papyrus-Marché pour l'achat de la ration du  prevenu"/>
    <s v="Transport"/>
    <s v="Legal"/>
    <n v="300"/>
    <n v="0.53481465106909443"/>
    <n v="560.94200000000001"/>
    <s v="Roderlin"/>
    <s v="RO-AU-D1"/>
    <s v="PALF"/>
    <x v="5"/>
    <s v="Congo"/>
    <m/>
    <m/>
    <m/>
  </r>
  <r>
    <x v="199"/>
    <s v="Tation du prevenu MANKOUSSOU Auzere à la maison d'arrêt de Sibiti/matin"/>
    <s v="Jail visit"/>
    <s v="Legal"/>
    <n v="1500"/>
    <n v="2.6740732553454722"/>
    <n v="560.94200000000001"/>
    <s v="Roderlin"/>
    <s v="RO-AU-D3"/>
    <s v="PALF"/>
    <x v="5"/>
    <s v="Congo"/>
    <m/>
    <m/>
    <m/>
  </r>
  <r>
    <x v="199"/>
    <s v="Taxi-moto:Marché-Maison d'arrêt de Sibiti"/>
    <s v="Transport"/>
    <s v="Legal"/>
    <n v="300"/>
    <n v="0.53481465106909443"/>
    <n v="560.94200000000001"/>
    <s v="Roderlin"/>
    <s v="RO-AU-D1"/>
    <s v="PALF"/>
    <x v="5"/>
    <s v="Congo"/>
    <m/>
    <m/>
    <m/>
  </r>
  <r>
    <x v="199"/>
    <s v="Taxi-moto:Maison d'arrêt de Sibiti-tGI pour la vérification des des expéditions "/>
    <s v="Transport"/>
    <s v="Legal"/>
    <n v="300"/>
    <n v="0.53481465106909443"/>
    <n v="560.94200000000001"/>
    <s v="Roderlin"/>
    <s v="RO-AU-D1"/>
    <s v="PALF"/>
    <x v="5"/>
    <s v="Congo"/>
    <m/>
    <m/>
    <m/>
  </r>
  <r>
    <x v="199"/>
    <s v="Taxi-moto:TGI-Hotel le papyrus "/>
    <s v="Transport"/>
    <s v="Legal"/>
    <n v="300"/>
    <n v="0.53481465106909443"/>
    <n v="560.94200000000001"/>
    <s v="Roderlin"/>
    <s v="RO-AU-D1"/>
    <s v="PALF"/>
    <x v="5"/>
    <s v="Congo"/>
    <m/>
    <m/>
    <m/>
  </r>
  <r>
    <x v="199"/>
    <s v="Taxi-moto:Hôtel le papyrus-Marché pour l'achat de la ration du  prevenu"/>
    <s v="Transport"/>
    <s v="Legal"/>
    <n v="300"/>
    <n v="0.53481465106909443"/>
    <n v="560.94200000000001"/>
    <s v="Roderlin"/>
    <s v="RO-AU-D1"/>
    <s v="PALF"/>
    <x v="5"/>
    <s v="Congo"/>
    <m/>
    <m/>
    <m/>
  </r>
  <r>
    <x v="199"/>
    <s v="Ration du prevenu MANKOUSSOU Auzere à la maison d'arrêt de Sibiti/soir"/>
    <s v="Jail visit"/>
    <s v="Legal"/>
    <n v="1500"/>
    <n v="2.6740732553454722"/>
    <n v="560.94200000000001"/>
    <s v="Roderlin"/>
    <s v="RO-AU-D3"/>
    <s v="PALF"/>
    <x v="5"/>
    <s v="Congo"/>
    <m/>
    <m/>
    <m/>
  </r>
  <r>
    <x v="199"/>
    <s v="Taxi-moto:Marché-Maison d'arrêt de Sibiti"/>
    <s v="Transport"/>
    <s v="Legal"/>
    <n v="300"/>
    <n v="0.53481465106909443"/>
    <n v="560.94200000000001"/>
    <s v="Roderlin"/>
    <s v="RO-AU-D1"/>
    <s v="PALF"/>
    <x v="5"/>
    <s v="Congo"/>
    <m/>
    <m/>
    <m/>
  </r>
  <r>
    <x v="199"/>
    <s v="Taxi-moto:Maison d'arrêt de Sibiti-Hôtel le papyrus"/>
    <s v="Transport"/>
    <s v="Legal"/>
    <n v="300"/>
    <n v="0.53481465106909443"/>
    <n v="560.94200000000001"/>
    <s v="Roderlin"/>
    <s v="RO-AU-D1"/>
    <s v="PALF"/>
    <x v="5"/>
    <s v="Congo"/>
    <m/>
    <m/>
    <m/>
  </r>
  <r>
    <x v="199"/>
    <s v="Taxi: Domicile-Agence Trans Bony de Diata"/>
    <s v="Transport"/>
    <s v="Legal"/>
    <n v="3000"/>
    <n v="5.3481465106909445"/>
    <n v="560.94200000000001"/>
    <s v="Romain"/>
    <s v="RM-AU-D1"/>
    <s v="PALF"/>
    <x v="5"/>
    <s v="Congo"/>
    <m/>
    <m/>
    <m/>
  </r>
  <r>
    <x v="199"/>
    <s v="Taxi: Agence Trans Bony de Diata-Bureau"/>
    <s v="Transport"/>
    <s v="Legal"/>
    <n v="1000"/>
    <n v="1.7827155035636482"/>
    <n v="560.94200000000001"/>
    <s v="Romain"/>
    <s v="RM-AU-D1"/>
    <s v="PALF"/>
    <x v="5"/>
    <s v="Congo"/>
    <m/>
    <m/>
    <m/>
  </r>
  <r>
    <x v="199"/>
    <s v="Taxi: Bureau-Agence Océan du Nord de Talangai"/>
    <s v="Transport"/>
    <s v="Legal"/>
    <n v="1500"/>
    <n v="2.6740732553454722"/>
    <n v="560.94200000000001"/>
    <s v="Romain"/>
    <s v="RM-AU-D1"/>
    <s v="PALF"/>
    <x v="5"/>
    <s v="Congo"/>
    <m/>
    <m/>
    <m/>
  </r>
  <r>
    <x v="199"/>
    <s v="Taxi: Agence Océan du Nord de Talangai-Bureau"/>
    <s v="Transport"/>
    <s v="Legal"/>
    <n v="1500"/>
    <n v="2.6740732553454722"/>
    <n v="560.94200000000001"/>
    <s v="Romain"/>
    <s v="RM-AU-D1"/>
    <s v="PALF"/>
    <x v="5"/>
    <s v="Congo"/>
    <m/>
    <m/>
    <m/>
  </r>
  <r>
    <x v="200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200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200"/>
    <s v="Taxi:  Bureau- Cabinet maitre LOCKO/remis de chèque du mois de Juin 2025"/>
    <s v="Transport"/>
    <s v="Office"/>
    <n v="1000"/>
    <n v="1.7827155035636482"/>
    <n v="560.94200000000001"/>
    <s v="Parfaite"/>
    <s v="P-AU-D1"/>
    <s v="PALF"/>
    <x v="5"/>
    <s v="Congo"/>
    <m/>
    <m/>
    <m/>
  </r>
  <r>
    <x v="200"/>
    <s v="Taxi:  Cabinet maitre LOCKO - Domicile/remis de chèque du mois de Juin  2025"/>
    <s v="Transport"/>
    <s v="Office"/>
    <n v="1000"/>
    <n v="1.7827155035636482"/>
    <n v="560.94200000000001"/>
    <s v="Parfaite"/>
    <s v="P-AU-D1"/>
    <s v="PALF"/>
    <x v="5"/>
    <s v="Congo"/>
    <m/>
    <m/>
    <m/>
  </r>
  <r>
    <x v="200"/>
    <s v="Taxi tricycle hotel kb fils-hotel mithe,travail avec l'équipe"/>
    <s v="Transport"/>
    <s v="Investigation"/>
    <n v="1000"/>
    <n v="1.7827155035636482"/>
    <n v="560.94200000000001"/>
    <s v="P29"/>
    <s v="P29-AU-D1"/>
    <s v="PALF"/>
    <x v="5"/>
    <s v="Congo"/>
    <m/>
    <m/>
    <m/>
  </r>
  <r>
    <x v="200"/>
    <s v="Taxi tricycle hotel mithe-hotel kb fils"/>
    <s v="Transport"/>
    <s v="Investigation"/>
    <n v="1000"/>
    <n v="1.7827155035636482"/>
    <n v="560.94200000000001"/>
    <s v="P29"/>
    <s v="P29-AU-D1"/>
    <s v="PALF"/>
    <x v="5"/>
    <s v="Congo"/>
    <m/>
    <m/>
    <m/>
  </r>
  <r>
    <x v="200"/>
    <s v="Taxi moto hotel kb fils-hotel mithe,travail avec l'équipe"/>
    <s v="Transport"/>
    <s v="Investigation"/>
    <n v="500"/>
    <n v="0.89135775178182408"/>
    <n v="560.94200000000001"/>
    <s v="P29"/>
    <s v="P29-AU-D1"/>
    <s v="PALF"/>
    <x v="5"/>
    <s v="Congo"/>
    <m/>
    <m/>
    <m/>
  </r>
  <r>
    <x v="200"/>
    <s v="Taxi tricycle hotel mithe-hotel kb fils"/>
    <s v="Transport"/>
    <s v="Investigation"/>
    <n v="1000"/>
    <n v="1.7827155035636482"/>
    <n v="560.94200000000001"/>
    <s v="P29"/>
    <s v="P29-AU-D1"/>
    <s v="PALF"/>
    <x v="5"/>
    <s v="Congo"/>
    <m/>
    <m/>
    <m/>
  </r>
  <r>
    <x v="200"/>
    <s v="Taxi moto : hotel KB fils - hotel mithe (reunion avec l'équipe)"/>
    <s v="Transport"/>
    <s v="Investigation"/>
    <n v="500"/>
    <n v="0.89135775178182408"/>
    <n v="560.94200000000001"/>
    <s v="T73"/>
    <s v="T73-AU-D1"/>
    <s v="PALF"/>
    <x v="5"/>
    <s v="Congo"/>
    <m/>
    <m/>
    <m/>
  </r>
  <r>
    <x v="200"/>
    <s v="Taxi moto : hotel mithe - KB fils  (reunion avec l'équipe)"/>
    <s v="Transport"/>
    <s v="Investigation"/>
    <n v="500"/>
    <n v="0.89135775178182408"/>
    <n v="560.94200000000001"/>
    <s v="T73"/>
    <s v="T73-AU-D1"/>
    <s v="PALF"/>
    <x v="5"/>
    <s v="Congo"/>
    <m/>
    <m/>
    <m/>
  </r>
  <r>
    <x v="200"/>
    <s v="IT87-CONGO Frais d'hôtel du 19 au 21/08/2025 à Djambala (02 nuitées)"/>
    <s v="Travel Subsistence"/>
    <s v="Investigation"/>
    <n v="30000"/>
    <n v="53.481465106909447"/>
    <n v="560.94200000000001"/>
    <s v="IT87"/>
    <s v="IT87-AU-R5"/>
    <s v="PALF"/>
    <x v="5"/>
    <s v="Congo"/>
    <m/>
    <m/>
    <m/>
  </r>
  <r>
    <x v="200"/>
    <s v="Taxi moto : Hôtel - Parking/ Départ de Djambala pour Ngo"/>
    <s v="Transport"/>
    <s v="Investigation"/>
    <n v="500"/>
    <n v="0.89135775178182408"/>
    <n v="560.94200000000001"/>
    <s v="IT87"/>
    <s v="IT87-AU-D1"/>
    <s v="PALF"/>
    <x v="5"/>
    <s v="Congo"/>
    <m/>
    <m/>
    <m/>
  </r>
  <r>
    <x v="200"/>
    <s v="Achat billet Djambala - Ngo/ IT87"/>
    <s v="Transport"/>
    <s v="Investigation"/>
    <n v="4000"/>
    <n v="7.1308620142545927"/>
    <n v="560.94200000000001"/>
    <s v="IT87"/>
    <s v="IT87-AU-R6"/>
    <s v="PALF"/>
    <x v="5"/>
    <s v="Congo"/>
    <m/>
    <m/>
    <m/>
  </r>
  <r>
    <x v="200"/>
    <s v="Taxi moto : Parking - Hôtel Arc en ciel/ Arrivé à Ngo"/>
    <s v="Transport"/>
    <s v="Investigation"/>
    <n v="500"/>
    <n v="0.89135775178182408"/>
    <n v="560.94200000000001"/>
    <s v="IT87"/>
    <s v="IT87-AU-D1"/>
    <s v="PALF"/>
    <x v="5"/>
    <s v="Congo"/>
    <m/>
    <m/>
    <m/>
  </r>
  <r>
    <x v="200"/>
    <s v="Taxi moto : Hôtel - Marché/ Prospection"/>
    <s v="Transport"/>
    <s v="Investigation"/>
    <n v="500"/>
    <n v="0.89135775178182408"/>
    <n v="560.94200000000001"/>
    <s v="IT87"/>
    <s v="IT87-AU-D1"/>
    <s v="PALF"/>
    <x v="5"/>
    <s v="Congo"/>
    <m/>
    <m/>
    <m/>
  </r>
  <r>
    <x v="200"/>
    <s v="Taxi moto : Marché - Gare routière de Mpouya/ Prospection"/>
    <s v="Transport"/>
    <s v="Investigation"/>
    <n v="500"/>
    <n v="0.89135775178182408"/>
    <n v="560.94200000000001"/>
    <s v="IT87"/>
    <s v="IT87-AU-D1"/>
    <s v="PALF"/>
    <x v="5"/>
    <s v="Congo"/>
    <m/>
    <m/>
    <m/>
  </r>
  <r>
    <x v="200"/>
    <s v="Taxi moto : Gare routière de Mpouya à Ngo - Hôtel/ Retour de prospection"/>
    <s v="Transport"/>
    <s v="Investigation"/>
    <n v="500"/>
    <n v="0.89135775178182408"/>
    <n v="560.94200000000001"/>
    <s v="IT87"/>
    <s v="IT87-AU-D1"/>
    <s v="PALF"/>
    <x v="5"/>
    <s v="Congo"/>
    <m/>
    <m/>
    <m/>
  </r>
  <r>
    <x v="200"/>
    <s v="Taxi:Hotel - rafinerie"/>
    <s v="Transport"/>
    <s v="Investigation"/>
    <n v="1000"/>
    <n v="1.7827155035636482"/>
    <n v="560.94200000000001"/>
    <s v="G12"/>
    <s v="G12-AU-D1"/>
    <s v="PALF"/>
    <x v="5"/>
    <s v="Congo"/>
    <m/>
    <m/>
    <m/>
  </r>
  <r>
    <x v="200"/>
    <s v="Achat boisson 1 cible"/>
    <s v="Trust Building"/>
    <s v="Investigation"/>
    <n v="1000"/>
    <n v="1.7827155035636482"/>
    <n v="560.94200000000001"/>
    <s v="G12"/>
    <s v="G12-AU-D3"/>
    <s v="PALF"/>
    <x v="5"/>
    <s v="Congo"/>
    <m/>
    <m/>
    <m/>
  </r>
  <r>
    <x v="200"/>
    <s v="Taxi:Rafinerie - ngoyo"/>
    <s v="Transport"/>
    <s v="Investigation"/>
    <n v="1000"/>
    <n v="1.7827155035636482"/>
    <n v="560.94200000000001"/>
    <s v="G12"/>
    <s v="G12-AU-D1"/>
    <s v="PALF"/>
    <x v="5"/>
    <s v="Congo"/>
    <m/>
    <m/>
    <m/>
  </r>
  <r>
    <x v="200"/>
    <s v="Taxi: Ngoyo - hotel"/>
    <s v="Transport"/>
    <s v="Investigation"/>
    <n v="1000"/>
    <n v="1.7827155035636482"/>
    <n v="560.94200000000001"/>
    <s v="G12"/>
    <s v="G12-AU-D1"/>
    <s v="PALF"/>
    <x v="5"/>
    <s v="Congo"/>
    <m/>
    <m/>
    <m/>
  </r>
  <r>
    <x v="200"/>
    <s v="Taxi: Auberge Moukondo-Maison d'arrêt de Dolisie"/>
    <s v="Transport"/>
    <s v="Legal"/>
    <n v="1000"/>
    <n v="1.7827155035636482"/>
    <n v="560.94200000000001"/>
    <s v="Abraham"/>
    <s v="AB-AU-D1"/>
    <s v="PALF"/>
    <x v="5"/>
    <s v="Congo"/>
    <m/>
    <m/>
    <m/>
  </r>
  <r>
    <x v="200"/>
    <s v="Ration/matin 5 détenus à la maison d'arrêt de Dolisie/ détenus visités: MBOUNGOU Dropsy, KISSAMBOU Yvon, PAMBOU Alain, BALENDA Jean Jacques, IVOUVOU"/>
    <s v="Jail visit"/>
    <s v="Legal"/>
    <n v="7500"/>
    <n v="13.370366276727362"/>
    <n v="560.94200000000001"/>
    <s v="Abraham"/>
    <s v="AB-AU-D3"/>
    <s v="PALF"/>
    <x v="5"/>
    <s v="Congo"/>
    <m/>
    <m/>
    <m/>
  </r>
  <r>
    <x v="200"/>
    <s v="Taxi:Maison d'arrêt de Dolisie-Auberge Moukondo"/>
    <s v="Transport"/>
    <s v="Legal"/>
    <n v="1000"/>
    <n v="1.7827155035636482"/>
    <n v="560.94200000000001"/>
    <s v="Abraham"/>
    <s v="AB-AU-D1"/>
    <s v="PALF"/>
    <x v="5"/>
    <s v="Congo"/>
    <m/>
    <m/>
    <m/>
  </r>
  <r>
    <x v="200"/>
    <s v="Taxi: Auberge Moukondo-Maison d'arrêt de Dolisie"/>
    <s v="Transport"/>
    <s v="Legal"/>
    <n v="1000"/>
    <n v="1.7827155035636482"/>
    <n v="560.94200000000001"/>
    <s v="Abraham"/>
    <s v="AB-AU-D1"/>
    <s v="PALF"/>
    <x v="5"/>
    <s v="Congo"/>
    <m/>
    <m/>
    <m/>
  </r>
  <r>
    <x v="200"/>
    <s v="Ration/soir 5 détenus à la maison d'arrêt de Dolisie/ détenus visités: MBOUNGOU Dropsy, KISSAMBOU Yvon, PAMBOU Alain, BALENDA Jean Jacques, IVOUVOU"/>
    <s v="Jail visit"/>
    <s v="Legal"/>
    <n v="7500"/>
    <n v="13.370366276727362"/>
    <n v="560.94200000000001"/>
    <s v="Abraham"/>
    <s v="AB-AU-D3"/>
    <s v="PALF"/>
    <x v="5"/>
    <s v="Congo"/>
    <m/>
    <m/>
    <m/>
  </r>
  <r>
    <x v="200"/>
    <s v="Taxi:Maison d'arrêt de Dolisie-Agence Transbony de Dolisie/Achat billet Dolisie-Brazzaville"/>
    <s v="Transport"/>
    <s v="Legal"/>
    <n v="1000"/>
    <n v="1.7827155035636482"/>
    <n v="560.94200000000001"/>
    <s v="Abraham"/>
    <s v="AB-AU-D1"/>
    <s v="PALF"/>
    <x v="5"/>
    <s v="Congo"/>
    <m/>
    <m/>
    <m/>
  </r>
  <r>
    <x v="200"/>
    <s v="Achat billet Dolisie-Brazzaville/Abraham"/>
    <s v="Transport"/>
    <s v="Legal"/>
    <n v="8000"/>
    <n v="14.261724028509185"/>
    <n v="560.94200000000001"/>
    <s v="Abraham"/>
    <s v="AB-AU-R4"/>
    <s v="PALF"/>
    <x v="5"/>
    <s v="Congo"/>
    <m/>
    <m/>
    <m/>
  </r>
  <r>
    <x v="200"/>
    <s v="Taxi:Agence Transbony de Dolisie-Auberge Moukondo"/>
    <s v="Transport"/>
    <s v="Legal"/>
    <n v="1000"/>
    <n v="1.7827155035636482"/>
    <n v="560.94200000000001"/>
    <s v="Abraham"/>
    <s v="AB-AU-D1"/>
    <s v="PALF"/>
    <x v="5"/>
    <s v="Congo"/>
    <m/>
    <m/>
    <m/>
  </r>
  <r>
    <x v="200"/>
    <s v="RODERLIN-CONGO Frais d'hôtel du 19 au 21/08/2025 à Sibiti (02 nuitées)"/>
    <s v="Travel Subsistence"/>
    <s v="Legal"/>
    <n v="30000"/>
    <n v="53.481465106909447"/>
    <n v="560.94200000000001"/>
    <s v="Roderlin"/>
    <s v="RO-AU-R4"/>
    <s v="PALF"/>
    <x v="5"/>
    <s v="Congo"/>
    <m/>
    <m/>
    <m/>
  </r>
  <r>
    <x v="200"/>
    <s v="Taxi-moto:Hôtel le papyrus-La garre de Sibiti"/>
    <s v="Transport"/>
    <s v="Legal"/>
    <n v="500"/>
    <n v="0.89135775178182408"/>
    <n v="560.94200000000001"/>
    <s v="Roderlin"/>
    <s v="RO-AU-D1"/>
    <s v="PALF"/>
    <x v="5"/>
    <s v="Congo"/>
    <m/>
    <m/>
    <m/>
  </r>
  <r>
    <x v="200"/>
    <s v=" Achat billet Sibiti-Nkayi/ Roderlin"/>
    <s v="Transport"/>
    <s v="Legal"/>
    <n v="5000"/>
    <n v="8.9135775178182417"/>
    <n v="560.94200000000001"/>
    <s v="Roderlin"/>
    <s v="RO-AU-R5"/>
    <s v="PALF"/>
    <x v="5"/>
    <s v="Congo"/>
    <m/>
    <m/>
    <m/>
  </r>
  <r>
    <x v="200"/>
    <s v=" Achat billet Nkayi-Brazzaville/ Roderlin "/>
    <s v="Transport"/>
    <s v="Legal"/>
    <n v="7000"/>
    <n v="12.479008524945538"/>
    <n v="560.94200000000001"/>
    <s v="Roderlin"/>
    <s v="RO-AU-R6"/>
    <s v="PALF"/>
    <x v="5"/>
    <s v="Congo"/>
    <m/>
    <m/>
    <m/>
  </r>
  <r>
    <x v="200"/>
    <s v="Taxi:Agence trans bony de Kintélé-Domicile "/>
    <s v="Transport"/>
    <s v="Legal"/>
    <n v="1000"/>
    <n v="1.7827155035636482"/>
    <n v="560.94200000000001"/>
    <s v="Roderlin"/>
    <s v="RO-AU-D1"/>
    <s v="PALF"/>
    <x v="5"/>
    <s v="Congo"/>
    <m/>
    <m/>
    <m/>
  </r>
  <r>
    <x v="201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201"/>
    <s v="Bureau 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201"/>
    <s v="Taxi moto: Hôtel Mithé-DDEF pour rencontre avec le DD par intérim"/>
    <s v="Transport"/>
    <s v="Legal"/>
    <n v="500"/>
    <n v="0.89135775178182408"/>
    <n v="560.94200000000001"/>
    <s v="Crépin"/>
    <s v="CR-AU-D1"/>
    <s v="PALF"/>
    <x v="5"/>
    <s v="Congo"/>
    <m/>
    <m/>
    <m/>
  </r>
  <r>
    <x v="201"/>
    <s v="Taxi moto: DDEF-Parquet pour rencontre avec le Procureur."/>
    <s v="Transport"/>
    <s v="Legal"/>
    <n v="500"/>
    <n v="0.89135775178182408"/>
    <n v="560.94200000000001"/>
    <s v="Crépin"/>
    <s v="CR-AU-D1"/>
    <s v="PALF"/>
    <x v="5"/>
    <s v="Congo"/>
    <m/>
    <m/>
    <m/>
  </r>
  <r>
    <x v="201"/>
    <s v="Taxi moto: Gendarmerie-Hôtel Mithé"/>
    <s v="Transport"/>
    <s v="Legal"/>
    <n v="500"/>
    <n v="0.89135775178182408"/>
    <n v="560.94200000000001"/>
    <s v="Crépin"/>
    <s v="CR-AU-D1"/>
    <s v="PALF"/>
    <x v="5"/>
    <s v="Congo"/>
    <m/>
    <m/>
    <m/>
  </r>
  <r>
    <x v="201"/>
    <s v="Taxi:  Bureau-Banque BCI/Appro caisse"/>
    <s v="Transport"/>
    <s v="Office"/>
    <n v="1000"/>
    <n v="1.7827155035636482"/>
    <n v="560.94200000000001"/>
    <s v="Parfaite"/>
    <s v="P-AU-D1"/>
    <s v="PALF"/>
    <x v="5"/>
    <s v="Congo"/>
    <m/>
    <m/>
    <m/>
  </r>
  <r>
    <x v="201"/>
    <s v="Taxi: Banque BCI- Charden farell/ transfert d'argent "/>
    <s v="Transport"/>
    <s v="Office"/>
    <n v="1000"/>
    <n v="1.7827155035636482"/>
    <n v="560.94200000000001"/>
    <s v="Parfaite"/>
    <s v="P-AU-D1"/>
    <s v="PALF"/>
    <x v="5"/>
    <s v="Congo"/>
    <m/>
    <m/>
    <m/>
  </r>
  <r>
    <x v="201"/>
    <s v="Taxi: Charden Farell- Bureau/ Transfert d'argent"/>
    <s v="Transport"/>
    <s v="Office"/>
    <n v="500"/>
    <n v="0.89135775178182408"/>
    <n v="560.94200000000001"/>
    <s v="Parfaite"/>
    <s v="P-AU-D1"/>
    <s v="PALF"/>
    <x v="5"/>
    <s v="Congo"/>
    <m/>
    <m/>
    <m/>
  </r>
  <r>
    <x v="201"/>
    <s v="Taxi: Bureau - Charden Farell/ verification des fonds envoyer a impfondo"/>
    <s v="Transport"/>
    <s v="Office"/>
    <n v="500"/>
    <n v="0.89135775178182408"/>
    <n v="560.94200000000001"/>
    <s v="Parfaite"/>
    <s v="P-AU-D1"/>
    <s v="PALF"/>
    <x v="5"/>
    <s v="Congo"/>
    <m/>
    <m/>
    <m/>
  </r>
  <r>
    <x v="201"/>
    <s v="Taxi: Charden Farell- Bureau/verification de fond envoyer à Impfondo"/>
    <s v="Transport"/>
    <s v="Office"/>
    <n v="500"/>
    <n v="0.89135775178182408"/>
    <n v="560.94200000000001"/>
    <s v="Parfaite"/>
    <s v="P-AU-D1"/>
    <s v="PALF"/>
    <x v="5"/>
    <s v="Congo"/>
    <m/>
    <m/>
    <m/>
  </r>
  <r>
    <x v="201"/>
    <s v="Frais de tansfert d'argent à crépin, Donald-Roméo, Evariste et P29"/>
    <s v="Transfert fees"/>
    <s v="Office"/>
    <n v="31890"/>
    <n v="56.850797408644745"/>
    <n v="560.94200000000001"/>
    <s v="Parfaite"/>
    <s v="CA-AU-R8"/>
    <s v="PALF"/>
    <x v="5"/>
    <s v="Congo"/>
    <m/>
    <m/>
    <m/>
  </r>
  <r>
    <x v="201"/>
    <s v="Taxi tricycle hotel-cf,retrait des fonds,problème de connexion"/>
    <s v="Transport"/>
    <s v="Investigation"/>
    <n v="1000"/>
    <n v="1.7827155035636482"/>
    <n v="560.94200000000001"/>
    <s v="P29"/>
    <s v="P29-AU-D1"/>
    <s v="PALF"/>
    <x v="5"/>
    <s v="Congo"/>
    <m/>
    <m/>
    <m/>
  </r>
  <r>
    <x v="201"/>
    <s v="Taxi tricycle cf-hotel"/>
    <s v="Transport"/>
    <s v="Investigation"/>
    <n v="1000"/>
    <n v="1.7827155035636482"/>
    <n v="560.94200000000001"/>
    <s v="P29"/>
    <s v="P29-AU-D1"/>
    <s v="PALF"/>
    <x v="5"/>
    <s v="Congo"/>
    <m/>
    <m/>
    <m/>
  </r>
  <r>
    <x v="201"/>
    <s v="Taxi tricycle hotel-cf,retrait des fonds"/>
    <s v="Transport"/>
    <s v="Investigation"/>
    <n v="1000"/>
    <n v="1.7827155035636482"/>
    <n v="560.94200000000001"/>
    <s v="P29"/>
    <s v="P29-AU-D1"/>
    <s v="PALF"/>
    <x v="5"/>
    <s v="Congo"/>
    <m/>
    <m/>
    <m/>
  </r>
  <r>
    <x v="201"/>
    <s v="Taxi tricycle cf-hotel"/>
    <s v="Transport"/>
    <s v="Investigation"/>
    <n v="1000"/>
    <n v="1.7827155035636482"/>
    <n v="560.94200000000001"/>
    <s v="P29"/>
    <s v="P29-AU-D1"/>
    <s v="PALF"/>
    <x v="5"/>
    <s v="Congo"/>
    <m/>
    <m/>
    <m/>
  </r>
  <r>
    <x v="201"/>
    <s v="Taxi moto hotel kb fils-hotel mithe,travail avec l'équipe"/>
    <s v="Transport"/>
    <s v="Investigation"/>
    <n v="500"/>
    <n v="0.89135775178182408"/>
    <n v="560.94200000000001"/>
    <s v="P29"/>
    <s v="P29-AU-D1"/>
    <s v="PALF"/>
    <x v="5"/>
    <s v="Congo"/>
    <m/>
    <m/>
    <m/>
  </r>
  <r>
    <x v="201"/>
    <s v="Taxi tricycle hotel mithe-hotel kb fils"/>
    <s v="Transport"/>
    <s v="Investigation"/>
    <n v="1000"/>
    <n v="1.7827155035636482"/>
    <n v="560.94200000000001"/>
    <s v="P29"/>
    <s v="P29-AU-D1"/>
    <s v="PALF"/>
    <x v="5"/>
    <s v="Congo"/>
    <m/>
    <m/>
    <m/>
  </r>
  <r>
    <x v="201"/>
    <s v="Taxi moto hotel kb fils-hotel mithe,travail avec l'équipe"/>
    <s v="Transport"/>
    <s v="Investigation"/>
    <n v="500"/>
    <n v="0.89135775178182408"/>
    <n v="560.94200000000001"/>
    <s v="P29"/>
    <s v="P29-AU-D1"/>
    <s v="PALF"/>
    <x v="5"/>
    <s v="Congo"/>
    <m/>
    <m/>
    <m/>
  </r>
  <r>
    <x v="201"/>
    <s v="Taxi tricycle hotel mithe-hotel kb fils"/>
    <s v="Transport"/>
    <s v="Investigation"/>
    <n v="1000"/>
    <n v="1.7827155035636482"/>
    <n v="560.94200000000001"/>
    <s v="P29"/>
    <s v="P29-AU-D1"/>
    <s v="PALF"/>
    <x v="5"/>
    <s v="Congo"/>
    <m/>
    <m/>
    <m/>
  </r>
  <r>
    <x v="201"/>
    <s v="Taxi moto : hotel KB fils - hotel mithe (reunion avec l'équipe)"/>
    <s v="Transport"/>
    <s v="Investigation"/>
    <n v="500"/>
    <n v="0.89135775178182408"/>
    <n v="560.94200000000001"/>
    <s v="T73"/>
    <s v="T73-AU-D1"/>
    <s v="PALF"/>
    <x v="5"/>
    <s v="Congo"/>
    <m/>
    <m/>
    <m/>
  </r>
  <r>
    <x v="201"/>
    <s v="Taxi moto : hotel mithe - KB fils  (reunion avec l'équipe)"/>
    <s v="Transport"/>
    <s v="Investigation"/>
    <n v="500"/>
    <n v="0.89135775178182408"/>
    <n v="560.94200000000001"/>
    <s v="T73"/>
    <s v="T73-AU-D1"/>
    <s v="PALF"/>
    <x v="5"/>
    <s v="Congo"/>
    <m/>
    <m/>
    <m/>
  </r>
  <r>
    <x v="201"/>
    <s v="Taxi moto : Hôtel - N2/ Prospection"/>
    <s v="Transport"/>
    <s v="Investigation"/>
    <n v="500"/>
    <n v="0.89135775178182408"/>
    <n v="560.94200000000001"/>
    <s v="IT87"/>
    <s v="IT87-AU-D1"/>
    <s v="PALF"/>
    <x v="5"/>
    <s v="Congo"/>
    <m/>
    <m/>
    <m/>
  </r>
  <r>
    <x v="201"/>
    <s v="Taxi moto : N2 - Marché/ Rencontre avec la cible"/>
    <s v="Transport"/>
    <s v="Investigation"/>
    <n v="500"/>
    <n v="0.89135775178182408"/>
    <n v="560.94200000000001"/>
    <s v="IT87"/>
    <s v="IT87-AU-D1"/>
    <s v="PALF"/>
    <x v="5"/>
    <s v="Congo"/>
    <m/>
    <m/>
    <m/>
  </r>
  <r>
    <x v="201"/>
    <s v="Achat snacks avec la cible"/>
    <s v="Trust Building"/>
    <s v="Investigation"/>
    <n v="2000"/>
    <n v="3.5654310071272963"/>
    <n v="560.94200000000001"/>
    <s v="IT87"/>
    <s v="IT87-AU-D3"/>
    <s v="PALF"/>
    <x v="5"/>
    <s v="Congo"/>
    <m/>
    <m/>
    <m/>
  </r>
  <r>
    <x v="201"/>
    <s v="Taxi moto : Marché - Avenue Omiere/ Prospection"/>
    <s v="Transport"/>
    <s v="Investigation"/>
    <n v="500"/>
    <n v="0.89135775178182408"/>
    <n v="560.94200000000001"/>
    <s v="IT87"/>
    <s v="IT87-AU-D1"/>
    <s v="PALF"/>
    <x v="5"/>
    <s v="Congo"/>
    <m/>
    <m/>
    <m/>
  </r>
  <r>
    <x v="201"/>
    <s v="Taxi moto : Avenue Omiere - Ecole primaire/ Prospection"/>
    <s v="Transport"/>
    <s v="Investigation"/>
    <n v="500"/>
    <n v="0.89135775178182408"/>
    <n v="560.94200000000001"/>
    <s v="IT87"/>
    <s v="IT87-AU-D1"/>
    <s v="PALF"/>
    <x v="5"/>
    <s v="Congo"/>
    <m/>
    <m/>
    <m/>
  </r>
  <r>
    <x v="201"/>
    <s v="Taxi moto : Ecole primaire Joseph - Hôtel/ Retour de prospection"/>
    <s v="Transport"/>
    <s v="Investigation"/>
    <n v="500"/>
    <n v="0.89135775178182408"/>
    <n v="560.94200000000001"/>
    <s v="IT87"/>
    <s v="IT87-AU-D1"/>
    <s v="PALF"/>
    <x v="5"/>
    <s v="Congo"/>
    <m/>
    <m/>
    <m/>
  </r>
  <r>
    <x v="201"/>
    <s v="Taxi: Hotel -gare routière"/>
    <s v="Transport"/>
    <s v="Investigation"/>
    <n v="1000"/>
    <n v="1.7827155035636482"/>
    <n v="560.94200000000001"/>
    <s v="G12"/>
    <s v="G12-AU-D1"/>
    <s v="PALF"/>
    <x v="5"/>
    <s v="Congo"/>
    <m/>
    <m/>
    <m/>
  </r>
  <r>
    <x v="201"/>
    <s v="G12- CONGO Achat billet Pointe Noire - Nzassi "/>
    <s v="Transport"/>
    <s v="Investigation"/>
    <n v="3000"/>
    <n v="5.3481465106909445"/>
    <n v="560.94200000000001"/>
    <s v="G12"/>
    <s v="G12-AU-R5"/>
    <s v="PALF"/>
    <x v="5"/>
    <s v="Congo"/>
    <m/>
    <m/>
    <m/>
  </r>
  <r>
    <x v="201"/>
    <s v="Taxi : gare routière - zone de l'hopital"/>
    <s v="Transport"/>
    <s v="Investigation"/>
    <n v="500"/>
    <n v="0.89135775178182408"/>
    <n v="560.94200000000001"/>
    <s v="G12"/>
    <s v="G12-AU-D1"/>
    <s v="PALF"/>
    <x v="5"/>
    <s v="Congo"/>
    <m/>
    <m/>
    <m/>
  </r>
  <r>
    <x v="201"/>
    <s v="Taxi : Hopital- marché"/>
    <s v="Transport"/>
    <s v="Investigation"/>
    <n v="500"/>
    <n v="0.89135775178182408"/>
    <n v="560.94200000000001"/>
    <s v="G12"/>
    <s v="G12-AU-D1"/>
    <s v="PALF"/>
    <x v="5"/>
    <s v="Congo"/>
    <m/>
    <m/>
    <m/>
  </r>
  <r>
    <x v="201"/>
    <s v="Achat boisson 1 cible"/>
    <s v="Trust Building"/>
    <s v="Investigation"/>
    <n v="1000"/>
    <n v="1.7827155035636482"/>
    <n v="560.94200000000001"/>
    <s v="G12"/>
    <s v="G12-AU-D3"/>
    <s v="PALF"/>
    <x v="5"/>
    <s v="Congo"/>
    <m/>
    <m/>
    <m/>
  </r>
  <r>
    <x v="201"/>
    <s v="Taxi: Marché - gare routière "/>
    <s v="Transport"/>
    <s v="Investigation"/>
    <n v="500"/>
    <n v="0.89135775178182408"/>
    <n v="560.94200000000001"/>
    <s v="G12"/>
    <s v="G12-AU-D1"/>
    <s v="PALF"/>
    <x v="5"/>
    <s v="Congo"/>
    <m/>
    <m/>
    <m/>
  </r>
  <r>
    <x v="201"/>
    <s v="G12-CONGO Achat billet Nzassi - Pointe Noire"/>
    <s v="Transport"/>
    <s v="Investigation"/>
    <n v="3000"/>
    <n v="5.3481465106909445"/>
    <n v="560.94200000000001"/>
    <s v="G12"/>
    <s v="G12-AU-R6"/>
    <s v="PALF"/>
    <x v="5"/>
    <s v="Congo"/>
    <m/>
    <m/>
    <m/>
  </r>
  <r>
    <x v="201"/>
    <s v="Taxi: gare routière - hotel"/>
    <s v="Transport"/>
    <s v="Investigation"/>
    <n v="500"/>
    <n v="0.89135775178182408"/>
    <n v="560.94200000000001"/>
    <s v="G12"/>
    <s v="G12-AU-D1"/>
    <s v="PALF"/>
    <x v="5"/>
    <s v="Congo"/>
    <m/>
    <m/>
    <m/>
  </r>
  <r>
    <x v="201"/>
    <s v="ABRAHAM - CONGO frais d'Hôtel du 20 au 22/08/2025 à Dolisie (02 Nuitées)"/>
    <s v="Travel Subsistence"/>
    <s v="Legal"/>
    <n v="30000"/>
    <n v="53.481465106909447"/>
    <n v="560.94200000000001"/>
    <s v="Abraham"/>
    <s v="AB-AU-R5"/>
    <s v="PALF"/>
    <x v="5"/>
    <s v="Congo"/>
    <m/>
    <m/>
    <m/>
  </r>
  <r>
    <x v="201"/>
    <s v="Taxi:Auberge Moukondo-Agence Transbony Dolisie"/>
    <s v="Transport"/>
    <s v="Legal"/>
    <n v="1000"/>
    <n v="1.7827155035636482"/>
    <n v="560.94200000000001"/>
    <s v="Abraham"/>
    <s v="AB-AU-D1"/>
    <s v="PALF"/>
    <x v="5"/>
    <s v="Congo"/>
    <m/>
    <m/>
    <m/>
  </r>
  <r>
    <x v="201"/>
    <s v="Taxi:Agence Transbony Moungali-Domicile"/>
    <s v="Transport"/>
    <s v="Legal"/>
    <n v="2000"/>
    <n v="3.5654310071272963"/>
    <n v="560.94200000000001"/>
    <s v="Abraham"/>
    <s v="AB-AU-D1"/>
    <s v="PALF"/>
    <x v="5"/>
    <s v="Congo"/>
    <m/>
    <m/>
    <m/>
  </r>
  <r>
    <x v="201"/>
    <s v="Achat carburant groupe electrogène Bureau et le frais de recharge"/>
    <s v="Office Materiels"/>
    <s v="Office"/>
    <n v="68500"/>
    <n v="122.11601199410991"/>
    <n v="560.94200000000001"/>
    <s v="Roderlin"/>
    <s v="CA-AU-R7"/>
    <s v="PALF"/>
    <x v="5"/>
    <s v="Congo"/>
    <m/>
    <m/>
    <m/>
  </r>
  <r>
    <x v="201"/>
    <s v="Taxi moto Hôtel-DDEF/ Rencontrer le DD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1"/>
    <s v="Taxi moto DDEF-TGI/ Rencontrer le Procureur 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1"/>
    <s v="Taxi moto Région de gendarmerie-Hôtel Mithé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1"/>
    <s v="Taxi: Bureau-Charden Farell(Pour le transfert d'argent)"/>
    <s v="Transport"/>
    <s v="Legal"/>
    <n v="500"/>
    <n v="0.89135775178182408"/>
    <n v="560.94200000000001"/>
    <s v="Romain"/>
    <s v="RM-AU-D1"/>
    <s v="PALF"/>
    <x v="5"/>
    <s v="Congo"/>
    <m/>
    <m/>
    <m/>
  </r>
  <r>
    <x v="201"/>
    <s v="Taxi: Charden Farell-Bureau"/>
    <s v="Transport"/>
    <s v="Legal"/>
    <n v="500"/>
    <n v="0.89135775178182408"/>
    <n v="560.94200000000001"/>
    <s v="Romain"/>
    <s v="RM-AU-D1"/>
    <s v="PALF"/>
    <x v="5"/>
    <s v="Congo"/>
    <m/>
    <m/>
    <m/>
  </r>
  <r>
    <x v="201"/>
    <s v="Paiement Honoraire Me LOCKO/Mois de Juin 2025/36544889"/>
    <s v="Lawyer Fees"/>
    <s v="Legal"/>
    <n v="150000"/>
    <n v="267.40732553454723"/>
    <n v="560.94200000000001"/>
    <s v="BCI"/>
    <s v="BQ-AU-R7"/>
    <s v="PALF"/>
    <x v="5"/>
    <s v="Congo"/>
    <m/>
    <m/>
    <m/>
  </r>
  <r>
    <x v="202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202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202"/>
    <s v="Taxi moto: Hôtel Mithé-Hôtel Tropicana pour repérage"/>
    <s v="Transport"/>
    <s v="Legal"/>
    <n v="500"/>
    <n v="0.89135775178182408"/>
    <n v="560.94200000000001"/>
    <s v="Crépin"/>
    <s v="CR-AU-D1"/>
    <s v="PALF"/>
    <x v="5"/>
    <s v="Congo"/>
    <m/>
    <m/>
    <m/>
  </r>
  <r>
    <x v="202"/>
    <s v="Taxi moto: Environs Hôtel Tropicana-DDEF pour la lettre de sollicitude de concours de la gendarmerie"/>
    <s v="Transport"/>
    <s v="Legal"/>
    <n v="500"/>
    <n v="0.89135775178182408"/>
    <n v="560.94200000000001"/>
    <s v="Crépin"/>
    <s v="CR-AU-D1"/>
    <s v="PALF"/>
    <x v="5"/>
    <s v="Congo"/>
    <m/>
    <m/>
    <m/>
  </r>
  <r>
    <x v="202"/>
    <s v="Taxi moto: DDEF-Gendarmerie pour dépôt de la demande de concours"/>
    <s v="Transport"/>
    <s v="Legal"/>
    <n v="500"/>
    <n v="0.89135775178182408"/>
    <n v="560.94200000000001"/>
    <s v="Crépin"/>
    <s v="CR-AU-D1"/>
    <s v="PALF"/>
    <x v="5"/>
    <s v="Congo"/>
    <m/>
    <m/>
    <m/>
  </r>
  <r>
    <x v="202"/>
    <s v="Taxi moto: Gendarmerie-Hôtel Mithé"/>
    <s v="Transport"/>
    <s v="Legal"/>
    <n v="500"/>
    <n v="0.89135775178182408"/>
    <n v="560.94200000000001"/>
    <s v="Crépin"/>
    <s v="CR-AU-D1"/>
    <s v="PALF"/>
    <x v="5"/>
    <s v="Congo"/>
    <m/>
    <m/>
    <m/>
  </r>
  <r>
    <x v="202"/>
    <s v="CREPIN-CONGO Frais d'hôtel du 16 au 23/08/2025 à Impfondo (07 Nuitées)"/>
    <s v="Travel Subsistence"/>
    <s v="Legal"/>
    <n v="105000"/>
    <n v="187.18512787418308"/>
    <n v="560.94200000000001"/>
    <s v="Crépin"/>
    <s v="CR-AU-R1"/>
    <s v="PALF"/>
    <x v="5"/>
    <s v="Congo"/>
    <m/>
    <m/>
    <m/>
  </r>
  <r>
    <x v="202"/>
    <s v="Taxi moto: Hôtel Mithé-Hôtel Tropicana pour occupation de la chambre pour opération"/>
    <s v="Transport"/>
    <s v="Legal"/>
    <n v="500"/>
    <n v="0.89135775178182408"/>
    <n v="560.94200000000001"/>
    <s v="Crépin"/>
    <s v="CR-AU-D1"/>
    <s v="PALF"/>
    <x v="5"/>
    <s v="Congo"/>
    <m/>
    <m/>
    <m/>
  </r>
  <r>
    <x v="202"/>
    <s v="Taxi tricycle hotel kb fils-hotel tropicana,réservation chambre op"/>
    <s v="Transport"/>
    <s v="Investigation"/>
    <n v="1000"/>
    <n v="1.7827155035636482"/>
    <n v="560.94200000000001"/>
    <s v="P29"/>
    <s v="P29-AU-D1"/>
    <s v="PALF"/>
    <x v="5"/>
    <s v="Congo"/>
    <m/>
    <m/>
    <m/>
  </r>
  <r>
    <x v="202"/>
    <s v="Taxi tricycle hotel tropicana-hotel kb fils"/>
    <s v="Transport"/>
    <s v="Investigation"/>
    <n v="1000"/>
    <n v="1.7827155035636482"/>
    <n v="560.94200000000001"/>
    <s v="P29"/>
    <s v="P29-AU-D1"/>
    <s v="PALF"/>
    <x v="5"/>
    <s v="Congo"/>
    <m/>
    <m/>
    <m/>
  </r>
  <r>
    <x v="202"/>
    <s v="Taxi moto hotel kb fils-hotel mithe,travail avec l'équipe"/>
    <s v="Transport"/>
    <s v="Investigation"/>
    <n v="500"/>
    <n v="0.89135775178182408"/>
    <n v="560.94200000000001"/>
    <s v="P29"/>
    <s v="P29-AU-D1"/>
    <s v="PALF"/>
    <x v="5"/>
    <s v="Congo"/>
    <m/>
    <m/>
    <m/>
  </r>
  <r>
    <x v="202"/>
    <s v="Taxi tricycle hotel mithe-hotel kb fils"/>
    <s v="Transport"/>
    <s v="Investigation"/>
    <n v="1000"/>
    <n v="1.7827155035636482"/>
    <n v="560.94200000000001"/>
    <s v="P29"/>
    <s v="P29-AU-D1"/>
    <s v="PALF"/>
    <x v="5"/>
    <s v="Congo"/>
    <m/>
    <m/>
    <m/>
  </r>
  <r>
    <x v="202"/>
    <s v="Taxi moto hotel kb fils-hotel mithe,travail avec l'équipe"/>
    <s v="Transport"/>
    <s v="Investigation"/>
    <n v="500"/>
    <n v="0.89135775178182408"/>
    <n v="560.94200000000001"/>
    <s v="P29"/>
    <s v="P29-AU-D1"/>
    <s v="PALF"/>
    <x v="5"/>
    <s v="Congo"/>
    <m/>
    <m/>
    <m/>
  </r>
  <r>
    <x v="202"/>
    <s v="Taxi tricycle hotel mithe-hotel kb fils"/>
    <s v="Transport"/>
    <s v="Investigation"/>
    <n v="1000"/>
    <n v="1.7827155035636482"/>
    <n v="560.94200000000001"/>
    <s v="P29"/>
    <s v="P29-AU-D1"/>
    <s v="PALF"/>
    <x v="5"/>
    <s v="Congo"/>
    <m/>
    <m/>
    <m/>
  </r>
  <r>
    <x v="202"/>
    <s v="Taxi moto : hotel KB fils - hotel tropicana(lieu OP)"/>
    <s v="Transport"/>
    <s v="Investigation"/>
    <n v="500"/>
    <n v="0.89135775178182408"/>
    <n v="560.94200000000001"/>
    <s v="T73"/>
    <s v="T73-AU-D1"/>
    <s v="PALF"/>
    <x v="5"/>
    <s v="Congo"/>
    <m/>
    <m/>
    <m/>
  </r>
  <r>
    <x v="202"/>
    <s v="Taxi moto : hotel tropicana - centre ville (rendez vous avec la cible)"/>
    <s v="Transport"/>
    <s v="Investigation"/>
    <n v="500"/>
    <n v="0.89135775178182408"/>
    <n v="560.94200000000001"/>
    <s v="T73"/>
    <s v="T73-AU-D1"/>
    <s v="PALF"/>
    <x v="5"/>
    <s v="Congo"/>
    <m/>
    <m/>
    <m/>
  </r>
  <r>
    <x v="202"/>
    <s v="Taxi moto : centre ville - zone stade (extraction)"/>
    <s v="Transport"/>
    <s v="Investigation"/>
    <n v="500"/>
    <n v="0.89135775178182408"/>
    <n v="560.94200000000001"/>
    <s v="T73"/>
    <s v="T73-AU-D1"/>
    <s v="PALF"/>
    <x v="5"/>
    <s v="Congo"/>
    <m/>
    <m/>
    <m/>
  </r>
  <r>
    <x v="202"/>
    <s v="Taxi moto : zone stade - zone hopital (extraction)"/>
    <s v="Transport"/>
    <s v="Investigation"/>
    <n v="500"/>
    <n v="0.89135775178182408"/>
    <n v="560.94200000000001"/>
    <s v="T73"/>
    <s v="T73-AU-D1"/>
    <s v="PALF"/>
    <x v="5"/>
    <s v="Congo"/>
    <m/>
    <m/>
    <m/>
  </r>
  <r>
    <x v="202"/>
    <s v="Taxi moto : zone hopital - l'hotel tropicana (extraction)"/>
    <s v="Transport"/>
    <s v="Investigation"/>
    <n v="500"/>
    <n v="0.89135775178182408"/>
    <n v="560.94200000000001"/>
    <s v="T73"/>
    <s v="T73-AU-D1"/>
    <s v="PALF"/>
    <x v="5"/>
    <s v="Congo"/>
    <m/>
    <m/>
    <m/>
  </r>
  <r>
    <x v="202"/>
    <s v="T73 - CONGO Frais d'hotel du 16 au 23/08/2025 à Impfondo (07 Nuitées)"/>
    <s v="Travel Subsistence"/>
    <s v="Investigation"/>
    <n v="105000"/>
    <n v="187.18512787418308"/>
    <n v="560.94200000000001"/>
    <s v="T73"/>
    <s v="T73-AU-R9"/>
    <s v="PALF"/>
    <x v="5"/>
    <s v="Congo"/>
    <m/>
    <m/>
    <m/>
  </r>
  <r>
    <x v="202"/>
    <s v="IT87-CONGO Frais d'hôtel  du 21 au 23/08/2025 à Ngo (02 nuitées)"/>
    <s v="Travel Subsistence"/>
    <s v="Investigation"/>
    <n v="30000"/>
    <n v="53.481465106909447"/>
    <n v="560.94200000000001"/>
    <s v="IT87"/>
    <s v="IT87-AU-R7"/>
    <s v="PALF"/>
    <x v="5"/>
    <s v="Congo"/>
    <m/>
    <m/>
    <m/>
  </r>
  <r>
    <x v="202"/>
    <s v="Taxi moto : Hôtel - Parking/ Départ de Ngo pour Inoni"/>
    <s v="Transport"/>
    <s v="Investigation"/>
    <n v="500"/>
    <n v="0.89135775178182408"/>
    <n v="560.94200000000001"/>
    <s v="IT87"/>
    <s v="IT87-AU-D1"/>
    <s v="PALF"/>
    <x v="5"/>
    <s v="Congo"/>
    <m/>
    <m/>
    <m/>
  </r>
  <r>
    <x v="202"/>
    <s v="Achat billet Ngo - Inoni/ IT87"/>
    <s v="Transport"/>
    <s v="Investigation"/>
    <n v="5000"/>
    <n v="8.9135775178182417"/>
    <n v="560.94200000000001"/>
    <s v="IT87"/>
    <s v="IT87-AU-R8"/>
    <s v="PALF"/>
    <x v="5"/>
    <s v="Congo"/>
    <m/>
    <m/>
    <m/>
  </r>
  <r>
    <x v="202"/>
    <s v="Taxi moto : Parking - Hôtel Paulina/ Arrivé à Inoni"/>
    <s v="Transport"/>
    <s v="Investigation"/>
    <n v="500"/>
    <n v="0.89135775178182408"/>
    <n v="560.94200000000001"/>
    <s v="IT87"/>
    <s v="IT87-AU-D1"/>
    <s v="PALF"/>
    <x v="5"/>
    <s v="Congo"/>
    <m/>
    <m/>
    <m/>
  </r>
  <r>
    <x v="202"/>
    <s v="Taxi moto : Hôtel - Ecole primaire de Inoni/ Prospection"/>
    <s v="Transport"/>
    <s v="Investigation"/>
    <n v="500"/>
    <n v="0.89135775178182408"/>
    <n v="560.94200000000001"/>
    <s v="IT87"/>
    <s v="IT87-AU-D1"/>
    <s v="PALF"/>
    <x v="5"/>
    <s v="Congo"/>
    <m/>
    <m/>
    <m/>
  </r>
  <r>
    <x v="202"/>
    <s v="Taxi moto : Ecole primaire d'Inoni - Centre/ Prospection"/>
    <s v="Transport"/>
    <s v="Investigation"/>
    <n v="500"/>
    <n v="0.89135775178182408"/>
    <n v="560.94200000000001"/>
    <s v="IT87"/>
    <s v="IT87-AU-D1"/>
    <s v="PALF"/>
    <x v="5"/>
    <s v="Congo"/>
    <m/>
    <m/>
    <m/>
  </r>
  <r>
    <x v="202"/>
    <s v="Taxi moto : Centre - Hôtel/ Retour de prospection"/>
    <s v="Transport"/>
    <s v="Investigation"/>
    <n v="500"/>
    <n v="0.89135775178182408"/>
    <n v="560.94200000000001"/>
    <s v="IT87"/>
    <s v="IT87-AU-D1"/>
    <s v="PALF"/>
    <x v="5"/>
    <s v="Congo"/>
    <m/>
    <m/>
    <m/>
  </r>
  <r>
    <x v="202"/>
    <s v="Taxi :Hotel - gare routière"/>
    <s v="Transport"/>
    <s v="Investigation"/>
    <n v="500"/>
    <n v="0.89135775178182408"/>
    <n v="560.94200000000001"/>
    <s v="G12"/>
    <s v="G12-AU-D1"/>
    <s v="PALF"/>
    <x v="5"/>
    <s v="Congo"/>
    <m/>
    <m/>
    <m/>
  </r>
  <r>
    <x v="202"/>
    <s v="G12-CONGO Achat billet Pointe Noire - Hinda"/>
    <s v="Transport"/>
    <s v="Investigation"/>
    <n v="4000"/>
    <n v="7.1308620142545927"/>
    <n v="560.94200000000001"/>
    <s v="G12"/>
    <s v="G12-AU-R7"/>
    <s v="PALF"/>
    <x v="5"/>
    <s v="Congo"/>
    <m/>
    <m/>
    <m/>
  </r>
  <r>
    <x v="202"/>
    <s v="Taxi:Gare routière - zone de la préfecture"/>
    <s v="Transport"/>
    <s v="Investigation"/>
    <n v="500"/>
    <n v="0.89135775178182408"/>
    <n v="560.94200000000001"/>
    <s v="G12"/>
    <s v="G12-AU-D1"/>
    <s v="PALF"/>
    <x v="5"/>
    <s v="Congo"/>
    <m/>
    <m/>
    <m/>
  </r>
  <r>
    <x v="202"/>
    <s v="Achat boisson 1 cible"/>
    <s v="Trust Building"/>
    <s v="Investigation"/>
    <n v="1000"/>
    <n v="1.7827155035636482"/>
    <n v="560.94200000000001"/>
    <s v="G12"/>
    <s v="G12-AU-D3"/>
    <s v="PALF"/>
    <x v="5"/>
    <s v="Congo"/>
    <m/>
    <m/>
    <m/>
  </r>
  <r>
    <x v="202"/>
    <s v="Taxi:Zone de préfecture - marché"/>
    <s v="Transport"/>
    <s v="Investigation"/>
    <n v="500"/>
    <n v="0.89135775178182408"/>
    <n v="560.94200000000001"/>
    <s v="G12"/>
    <s v="G12-AU-D1"/>
    <s v="PALF"/>
    <x v="5"/>
    <s v="Congo"/>
    <m/>
    <m/>
    <m/>
  </r>
  <r>
    <x v="202"/>
    <s v="Taxi : Marché -gare routière"/>
    <s v="Transport"/>
    <s v="Investigation"/>
    <n v="500"/>
    <n v="0.89135775178182408"/>
    <n v="560.94200000000001"/>
    <s v="G12"/>
    <s v="G12-AU-D1"/>
    <s v="PALF"/>
    <x v="5"/>
    <s v="Congo"/>
    <m/>
    <m/>
    <m/>
  </r>
  <r>
    <x v="202"/>
    <s v="G12-CONGO Achat billet Hinda -Pointe Noire"/>
    <s v="Transport"/>
    <s v="Investigation"/>
    <n v="4000"/>
    <n v="7.1308620142545927"/>
    <n v="560.94200000000001"/>
    <s v="G12"/>
    <s v="G12-AU-R8"/>
    <s v="PALF"/>
    <x v="5"/>
    <s v="Congo"/>
    <m/>
    <m/>
    <m/>
  </r>
  <r>
    <x v="202"/>
    <s v="Taxi: Gare routière -agence trans bony"/>
    <s v="Transport"/>
    <s v="Investigation"/>
    <n v="1000"/>
    <n v="1.7827155035636482"/>
    <n v="560.94200000000001"/>
    <s v="G12"/>
    <s v="G12-AU-D1"/>
    <s v="PALF"/>
    <x v="5"/>
    <s v="Congo"/>
    <m/>
    <m/>
    <m/>
  </r>
  <r>
    <x v="202"/>
    <s v="G12-CONGO Achat billet Pointe Noire- Brazzaville"/>
    <s v="Transport"/>
    <s v="Investigation"/>
    <n v="12000"/>
    <n v="21.392586042763778"/>
    <n v="560.94200000000001"/>
    <s v="G12"/>
    <s v="G12-AU-R9"/>
    <s v="PALF"/>
    <x v="5"/>
    <s v="Congo"/>
    <m/>
    <m/>
    <m/>
  </r>
  <r>
    <x v="202"/>
    <s v="Taxi : Agence - hotel"/>
    <s v="Transport"/>
    <s v="Investigation"/>
    <n v="1000"/>
    <n v="1.7827155035636482"/>
    <n v="560.94200000000001"/>
    <s v="G12"/>
    <s v="G12-AU-D1"/>
    <s v="PALF"/>
    <x v="5"/>
    <s v="Congo"/>
    <m/>
    <m/>
    <m/>
  </r>
  <r>
    <x v="202"/>
    <s v="Taxi moto Hôtel Mithé- Hôtel Tropicana/ Reperage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2"/>
    <s v="Taxi moto Hôtel Tropicana- Aeroport d'Impfondo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2"/>
    <s v="Taxi moto Aeroport d'Impfondo-Charden farell/ Retrait des fonds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2"/>
    <s v="Taxi Charden farell-Hôtel Mithé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2"/>
    <s v="Taxi moto, Hôtel Mithé2-les environs de l'hôtel Tropicana"/>
    <s v="Transport"/>
    <s v="Media"/>
    <n v="500"/>
    <n v="0.89135775178182408"/>
    <n v="560.94200000000001"/>
    <s v="Evariste"/>
    <s v="EV-AU-D1"/>
    <s v="PALF"/>
    <x v="5"/>
    <s v="Congo"/>
    <m/>
    <m/>
    <m/>
  </r>
  <r>
    <x v="202"/>
    <s v="Taxi moto, Hôtel Tropicana-Hôtel Mithé2"/>
    <s v="Transport"/>
    <s v="Media"/>
    <n v="500"/>
    <n v="0.89135775178182408"/>
    <n v="560.94200000000001"/>
    <s v="Evariste"/>
    <s v="EV-AU-D1"/>
    <s v="PALF"/>
    <x v="5"/>
    <s v="Congo"/>
    <m/>
    <m/>
    <m/>
  </r>
  <r>
    <x v="203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203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203"/>
    <s v="Taxi moto: Hôtel Tropicana-Hôtel Mithé pour briefing équipe PALF."/>
    <s v="Transport"/>
    <s v="Legal"/>
    <n v="500"/>
    <n v="0.89135775178182408"/>
    <n v="560.94200000000001"/>
    <s v="Crépin"/>
    <s v="CR-AU-D1"/>
    <s v="PALF"/>
    <x v="5"/>
    <s v="Congo"/>
    <m/>
    <m/>
    <m/>
  </r>
  <r>
    <x v="203"/>
    <s v="Taxi moto: Hôtel Mithé-Hôtel Tropicana"/>
    <s v="Transport"/>
    <s v="Legal"/>
    <n v="500"/>
    <n v="0.89135775178182408"/>
    <n v="560.94200000000001"/>
    <s v="Crépin"/>
    <s v="CR-AU-D1"/>
    <s v="PALF"/>
    <x v="5"/>
    <s v="Congo"/>
    <m/>
    <m/>
    <m/>
  </r>
  <r>
    <x v="203"/>
    <s v="Taxi tricycle hotel kb fils-hotel mithe,brefing"/>
    <s v="Transport"/>
    <s v="Investigation"/>
    <n v="1000"/>
    <n v="1.7827155035636482"/>
    <n v="560.94200000000001"/>
    <s v="P29"/>
    <s v="P29-AU-D1"/>
    <s v="PALF"/>
    <x v="5"/>
    <s v="Congo"/>
    <m/>
    <m/>
    <m/>
  </r>
  <r>
    <x v="203"/>
    <s v="Taxi tricycle hotel mithe-hotel kb fils"/>
    <s v="Transport"/>
    <s v="Investigation"/>
    <n v="1000"/>
    <n v="1.7827155035636482"/>
    <n v="560.94200000000001"/>
    <s v="P29"/>
    <s v="P29-AU-D1"/>
    <s v="PALF"/>
    <x v="5"/>
    <s v="Congo"/>
    <m/>
    <m/>
    <m/>
  </r>
  <r>
    <x v="203"/>
    <s v="Taxi moto : hotel tropicana - centre ville (rendez vous avec la cible)"/>
    <s v="Transport"/>
    <s v="Investigation"/>
    <n v="500"/>
    <n v="0.89135775178182408"/>
    <n v="560.94200000000001"/>
    <s v="T73"/>
    <s v="T73-AU-D1"/>
    <s v="PALF"/>
    <x v="5"/>
    <s v="Congo"/>
    <m/>
    <m/>
    <m/>
  </r>
  <r>
    <x v="203"/>
    <s v="Taxi moto : centre ville - marché (extraction)"/>
    <s v="Transport"/>
    <s v="Investigation"/>
    <n v="500"/>
    <n v="0.89135775178182408"/>
    <n v="560.94200000000001"/>
    <s v="T73"/>
    <s v="T73-AU-D1"/>
    <s v="PALF"/>
    <x v="5"/>
    <s v="Congo"/>
    <m/>
    <m/>
    <m/>
  </r>
  <r>
    <x v="203"/>
    <s v="Taxi moto : marché - zone stade (extraction)"/>
    <s v="Transport"/>
    <s v="Investigation"/>
    <n v="500"/>
    <n v="0.89135775178182408"/>
    <n v="560.94200000000001"/>
    <s v="T73"/>
    <s v="T73-AU-D1"/>
    <s v="PALF"/>
    <x v="5"/>
    <s v="Congo"/>
    <m/>
    <m/>
    <m/>
  </r>
  <r>
    <x v="203"/>
    <s v="Taxi moto : zone stade - quartier tosangana (extraction)"/>
    <s v="Transport"/>
    <s v="Investigation"/>
    <n v="500"/>
    <n v="0.89135775178182408"/>
    <n v="560.94200000000001"/>
    <s v="T73"/>
    <s v="T73-AU-D1"/>
    <s v="PALF"/>
    <x v="5"/>
    <s v="Congo"/>
    <m/>
    <m/>
    <m/>
  </r>
  <r>
    <x v="203"/>
    <s v="Taxi moto : quartier tosangana - hotel mithe (reunion avec l'équipe)"/>
    <s v="Transport"/>
    <s v="Investigation"/>
    <n v="500"/>
    <n v="0.89135775178182408"/>
    <n v="560.94200000000001"/>
    <s v="T73"/>
    <s v="T73-AU-D1"/>
    <s v="PALF"/>
    <x v="5"/>
    <s v="Congo"/>
    <m/>
    <m/>
    <m/>
  </r>
  <r>
    <x v="203"/>
    <s v="Taxi moto : hotel mithe - hottel tropicana (reunion avec l'équipe)"/>
    <s v="Transport"/>
    <s v="Investigation"/>
    <n v="500"/>
    <n v="0.89135775178182408"/>
    <n v="560.94200000000001"/>
    <s v="T73"/>
    <s v="T73-AU-D1"/>
    <s v="PALF"/>
    <x v="5"/>
    <s v="Congo"/>
    <m/>
    <m/>
    <m/>
  </r>
  <r>
    <x v="203"/>
    <s v="IT87-CONGO Frais d'hôtel  du 23 au 24/08/2025 à Inoni (01 nuitée)"/>
    <s v="Travel Subsistence"/>
    <s v="Investigation"/>
    <n v="15000"/>
    <n v="26.740732553454723"/>
    <n v="560.94200000000001"/>
    <s v="IT87"/>
    <s v="IT87-AU-R9"/>
    <s v="PALF"/>
    <x v="5"/>
    <s v="Congo"/>
    <m/>
    <m/>
    <m/>
  </r>
  <r>
    <x v="203"/>
    <s v="Taxi moto : Hôtel - Parking/ Départ de Inoni pour Brazzaville"/>
    <s v="Transport"/>
    <s v="Investigation"/>
    <n v="500"/>
    <n v="0.89135775178182408"/>
    <n v="560.94200000000001"/>
    <s v="IT87"/>
    <s v="IT87-AU-D1"/>
    <s v="PALF"/>
    <x v="5"/>
    <s v="Congo"/>
    <m/>
    <m/>
    <m/>
  </r>
  <r>
    <x v="203"/>
    <s v="Achat billet Inoni - Brazzaville/ IT87"/>
    <s v="Transport"/>
    <s v="Investigation"/>
    <n v="5000"/>
    <n v="8.9135775178182417"/>
    <n v="560.94200000000001"/>
    <s v="IT87"/>
    <s v="IT87-AU-R10"/>
    <s v="PALF"/>
    <x v="5"/>
    <s v="Congo"/>
    <m/>
    <m/>
    <m/>
  </r>
  <r>
    <x v="203"/>
    <s v="Taxi : TalangaÏ - Domicile/ Arrivé à Brazzaville"/>
    <s v="Transport"/>
    <s v="Investigation"/>
    <n v="4000"/>
    <n v="7.1308620142545927"/>
    <n v="560.94200000000001"/>
    <s v="IT87"/>
    <s v="IT87-AU-D1"/>
    <s v="PALF"/>
    <x v="5"/>
    <s v="Congo"/>
    <m/>
    <m/>
    <m/>
  </r>
  <r>
    <x v="203"/>
    <s v="CONGO frais d'hôtel du 19 /08/2025 au 24/08/2025 à pointe noire"/>
    <s v="Travel Subsistence"/>
    <s v="Investigation"/>
    <n v="75000"/>
    <n v="133.70366276727361"/>
    <n v="560.94200000000001"/>
    <s v="G12"/>
    <s v="G12-AU-R10"/>
    <s v="PALF"/>
    <x v="5"/>
    <s v="Congo"/>
    <m/>
    <m/>
    <m/>
  </r>
  <r>
    <x v="203"/>
    <s v="Taxi : Hotel- agence / achat billet pointe noire / brazzaville"/>
    <s v="Transport"/>
    <s v="Investigation"/>
    <n v="1000"/>
    <n v="1.7827155035636482"/>
    <n v="560.94200000000001"/>
    <s v="G12"/>
    <s v="G12-AU-D1"/>
    <s v="PALF"/>
    <x v="5"/>
    <s v="Congo"/>
    <m/>
    <m/>
    <m/>
  </r>
  <r>
    <x v="203"/>
    <s v="Taxi: Agence - domicile     "/>
    <s v="Transport"/>
    <s v="Investigation"/>
    <n v="1000"/>
    <n v="1.7827155035636482"/>
    <n v="560.94200000000001"/>
    <s v="G12"/>
    <s v="G12-AU-D1"/>
    <s v="PALF"/>
    <x v="5"/>
    <s v="Congo"/>
    <m/>
    <m/>
    <m/>
  </r>
  <r>
    <x v="203"/>
    <s v="Taxi moto Hôtel Mithé- Cyber / Faire imprimer la photo et le mandat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3"/>
    <s v="Frais d'impression de la photo et du mandat"/>
    <s v="Court fees"/>
    <s v="Legal"/>
    <n v="1400"/>
    <n v="2.4958017049891077"/>
    <n v="560.94200000000001"/>
    <s v="Donald-Romeo"/>
    <s v="DR-AU-R6"/>
    <s v="PALF"/>
    <x v="5"/>
    <s v="Congo"/>
    <m/>
    <m/>
    <m/>
  </r>
  <r>
    <x v="203"/>
    <s v="Taxi moto Cyber-Hôtel Mithé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4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204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204"/>
    <s v="Taxi moto: Hôtel Tropicana-Gendarmerie pour briefing autorités"/>
    <s v="Transport"/>
    <s v="Legal"/>
    <n v="500"/>
    <n v="0.89135775178182408"/>
    <n v="560.94200000000001"/>
    <s v="Crépin"/>
    <s v="CR-AU-D1"/>
    <s v="PALF"/>
    <x v="5"/>
    <s v="Congo"/>
    <m/>
    <m/>
    <m/>
  </r>
  <r>
    <x v="204"/>
    <s v="05 Taxis motos pour 04 gendarmes et moi: Gendarmerie-Hôtel Tropicana pour positionnement"/>
    <s v="Transport"/>
    <s v="Legal"/>
    <n v="2000"/>
    <n v="3.5654310071272963"/>
    <n v="560.94200000000001"/>
    <s v="Crépin"/>
    <s v="CR-AU-D1"/>
    <s v="PALF"/>
    <x v="5"/>
    <s v="Congo"/>
    <m/>
    <m/>
    <m/>
  </r>
  <r>
    <x v="204"/>
    <s v="Raffraichissements pendant l'attente de l'opération avec 04 gendarmes en civli"/>
    <s v="Travel Subsistence"/>
    <s v="Operation"/>
    <n v="10000"/>
    <n v="17.827155035636483"/>
    <n v="560.94200000000001"/>
    <s v="Crépin"/>
    <s v="CR-AU-R1"/>
    <s v="PALF"/>
    <x v="5"/>
    <s v="Congo"/>
    <m/>
    <m/>
    <m/>
  </r>
  <r>
    <x v="204"/>
    <s v="Taxi moto: Gendarmerie-Hôtel Mithé"/>
    <s v="Transport"/>
    <s v="Legal"/>
    <n v="500"/>
    <n v="0.89135775178182408"/>
    <n v="560.94200000000001"/>
    <s v="Crépin"/>
    <s v="CR-AU-D1"/>
    <s v="PALF"/>
    <x v="5"/>
    <s v="Congo"/>
    <m/>
    <m/>
    <m/>
  </r>
  <r>
    <x v="204"/>
    <s v="Taxi:  Bureau-Banque BCI/ Dépôt ordre de virement salaire du mois d'Août 2025"/>
    <s v="Transport"/>
    <s v="Office"/>
    <n v="1000"/>
    <n v="1.7827155035636482"/>
    <n v="560.94200000000001"/>
    <s v="Parfaite"/>
    <s v="P-AU-D1"/>
    <s v="PALF"/>
    <x v="5"/>
    <s v="Congo"/>
    <m/>
    <m/>
    <m/>
  </r>
  <r>
    <x v="204"/>
    <s v="Taxi:  Banque BCI - Direction MTN /Transfert d'argent à P29 et T73"/>
    <s v="Transport"/>
    <s v="Office"/>
    <n v="1000"/>
    <n v="1.7827155035636482"/>
    <n v="560.94200000000001"/>
    <s v="Parfaite"/>
    <s v="P-AU-D1"/>
    <s v="PALF"/>
    <x v="5"/>
    <s v="Congo"/>
    <m/>
    <m/>
    <m/>
  </r>
  <r>
    <x v="204"/>
    <s v="Taxi: Direction MTN-Bureau/ "/>
    <s v="Transport"/>
    <s v="Office"/>
    <n v="1000"/>
    <n v="1.7827155035636482"/>
    <n v="560.94200000000001"/>
    <s v="Parfaite"/>
    <s v="P-AU-D1"/>
    <s v="PALF"/>
    <x v="5"/>
    <s v="Congo"/>
    <m/>
    <m/>
    <m/>
  </r>
  <r>
    <x v="204"/>
    <s v="Frais de tansfert d'argent à T73 et P29"/>
    <s v="Transfert fees"/>
    <s v="Office"/>
    <n v="12985"/>
    <n v="23.148560813773972"/>
    <n v="560.94200000000001"/>
    <s v="Parfaite"/>
    <s v="CA-AU-R11"/>
    <s v="PALF"/>
    <x v="5"/>
    <s v="Congo"/>
    <m/>
    <m/>
    <m/>
  </r>
  <r>
    <x v="204"/>
    <s v="P29 -CONGO Frais d'hotel du 16 au 25/08/2025 à  impfondo (09 Nuitées)"/>
    <s v="Travel Subsistence"/>
    <s v="Investigation"/>
    <n v="135000"/>
    <n v="240.66659298109252"/>
    <n v="560.94200000000001"/>
    <s v="P29"/>
    <s v="P29-AU-R8"/>
    <s v="PALF"/>
    <x v="5"/>
    <s v="Congo"/>
    <m/>
    <m/>
    <m/>
  </r>
  <r>
    <x v="204"/>
    <s v="Location véhicule pour extraction Impfondo-enyelle/P29"/>
    <s v="Transport"/>
    <s v="Investigation"/>
    <n v="350000"/>
    <n v="623.95042624727694"/>
    <n v="560.94200000000001"/>
    <s v="P29"/>
    <s v="P29-AU-R9"/>
    <s v="PALF"/>
    <x v="5"/>
    <s v="Congo"/>
    <m/>
    <m/>
    <m/>
  </r>
  <r>
    <x v="204"/>
    <s v="Taxi hotel-route nationale,croiser le vehicule extraction"/>
    <s v="Transport"/>
    <s v="Investigation"/>
    <n v="1000"/>
    <n v="1.7827155035636482"/>
    <n v="560.94200000000001"/>
    <s v="P29"/>
    <s v="P29-AU-D1"/>
    <s v="PALF"/>
    <x v="5"/>
    <s v="Congo"/>
    <m/>
    <m/>
    <m/>
  </r>
  <r>
    <x v="204"/>
    <s v="Taxi moto Hôtel Mithé- Gendarmerie/ Opération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4"/>
    <s v="Achat carburant BJ OP"/>
    <s v="Transport "/>
    <s v="Operation"/>
    <n v="25000"/>
    <n v="44.567887589091207"/>
    <n v="560.94200000000001"/>
    <s v="Donald-Romeo"/>
    <s v="DR-AU-R7"/>
    <s v="PALF"/>
    <x v="5"/>
    <s v="Congo"/>
    <m/>
    <m/>
    <m/>
  </r>
  <r>
    <x v="204"/>
    <s v="Raffraichissement OP  à Impfondo/10  gendarmes et moi"/>
    <s v="Travel Subsistence"/>
    <s v="Legal"/>
    <n v="23250"/>
    <n v="41.448135457854825"/>
    <n v="560.94200000000001"/>
    <s v="Donald-Romeo"/>
    <s v="DR-AU-R8"/>
    <s v="PALF"/>
    <x v="5"/>
    <s v="Congo"/>
    <m/>
    <m/>
    <m/>
  </r>
  <r>
    <x v="204"/>
    <s v="Taxi moto Region de Gendarmerie- Hôtel Mithé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4"/>
    <s v="Taxi moto Hôtel Mithé-La Brigade de Recherche/ Pour la visite geôle du 25/08/2025 à 20h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4"/>
    <s v="Ration d'une prevenue/ MOUKAHOU Clarisse/ A la gandarmerie d'Impfondo/Soir"/>
    <s v="Jail visit"/>
    <s v="Legal"/>
    <n v="1500"/>
    <n v="2.6740732553454722"/>
    <n v="560.94200000000001"/>
    <s v="Donald-Romeo"/>
    <s v="DR-AU-D3"/>
    <s v="PALF"/>
    <x v="5"/>
    <s v="Congo"/>
    <m/>
    <m/>
    <m/>
  </r>
  <r>
    <x v="204"/>
    <s v="Taxi moto La Brigade de Recherche- Hôtel Mithé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4"/>
    <s v="Taxi moto, Hôtel Mithé2-Région de Gendarmerie"/>
    <s v="Transport"/>
    <s v="Media"/>
    <n v="500"/>
    <n v="0.89135775178182408"/>
    <n v="560.94200000000001"/>
    <s v="Evariste"/>
    <s v="EV-AU-D1"/>
    <s v="PALF"/>
    <x v="5"/>
    <s v="Congo"/>
    <m/>
    <m/>
    <m/>
  </r>
  <r>
    <x v="204"/>
    <s v="Taxi moto, Région de Gendarmerie-Le Bar en face de l'hôtel Tropicana"/>
    <s v="Transport"/>
    <s v="Media"/>
    <n v="500"/>
    <n v="0.89135775178182408"/>
    <n v="560.94200000000001"/>
    <s v="Evariste"/>
    <s v="EV-AU-D1"/>
    <s v="PALF"/>
    <x v="5"/>
    <s v="Congo"/>
    <m/>
    <m/>
    <m/>
  </r>
  <r>
    <x v="204"/>
    <s v="Rafraichissement de mon équipe lors de l'opération/ Evariste"/>
    <s v="Travel Subsistence"/>
    <s v="Media"/>
    <n v="10000"/>
    <n v="17.827155035636483"/>
    <n v="560.94200000000001"/>
    <s v="Evariste"/>
    <s v="EV-AU-R6"/>
    <s v="PALF"/>
    <x v="5"/>
    <s v="Congo"/>
    <m/>
    <m/>
    <m/>
  </r>
  <r>
    <x v="204"/>
    <s v="Taxi moto, Région de Gendarmerie-Hôtel Mithé2"/>
    <s v="Transport"/>
    <s v="Media"/>
    <n v="500"/>
    <n v="0.89135775178182408"/>
    <n v="560.94200000000001"/>
    <s v="Evariste"/>
    <s v="EV-AU-D1"/>
    <s v="PALF"/>
    <x v="5"/>
    <s v="Congo"/>
    <m/>
    <m/>
    <m/>
  </r>
  <r>
    <x v="204"/>
    <s v="Achat chaise  bureau PALF"/>
    <s v="Equipment"/>
    <s v="Office"/>
    <n v="35000"/>
    <n v="62.395042624727687"/>
    <n v="560.94200000000001"/>
    <s v="Romain"/>
    <s v="CA-AU-R9"/>
    <s v="PALF"/>
    <x v="5"/>
    <s v="Congo"/>
    <m/>
    <m/>
    <m/>
  </r>
  <r>
    <x v="204"/>
    <s v="Frais de reparation chaise bureau PALF"/>
    <s v="Services"/>
    <s v="Office"/>
    <n v="5000"/>
    <n v="8.9135775178182417"/>
    <n v="560.94200000000001"/>
    <s v="Romain"/>
    <s v="CA-AU-R10"/>
    <s v="PALF"/>
    <x v="5"/>
    <s v="Congo"/>
    <m/>
    <m/>
    <m/>
  </r>
  <r>
    <x v="204"/>
    <s v="Paiement salaire du mois d'Août 2025/BAVOUMINA NZOUSSI Dina Parfaite/3654421"/>
    <s v="Personnel"/>
    <s v="Office"/>
    <n v="258800"/>
    <n v="461.3667723222722"/>
    <n v="560.94200000000001"/>
    <s v="BCI"/>
    <s v="BQ-AU-R8"/>
    <s v="PALF"/>
    <x v="5"/>
    <s v="Congo"/>
    <m/>
    <m/>
    <m/>
  </r>
  <r>
    <x v="204"/>
    <s v="Paiement salaire du mois d'Août 2025/FOUMBA Roderlin/3654424"/>
    <s v="Personnel"/>
    <s v="Legal"/>
    <n v="228800"/>
    <n v="407.88530721536273"/>
    <n v="560.94200000000001"/>
    <s v="BCI"/>
    <s v="BQ-AU-R9"/>
    <s v="PALF"/>
    <x v="5"/>
    <s v="Congo"/>
    <m/>
    <m/>
    <m/>
  </r>
  <r>
    <x v="204"/>
    <s v="Paiement salaire du mois d'Août 2025/BOUNGOU MAKOSSO Abraham/3654423"/>
    <s v="Personnel"/>
    <s v="Legal"/>
    <n v="228800"/>
    <n v="407.88530721536273"/>
    <n v="560.94200000000001"/>
    <s v="BCI"/>
    <s v="BQ-AU-R10"/>
    <s v="PALF"/>
    <x v="5"/>
    <s v="Congo"/>
    <m/>
    <m/>
    <m/>
  </r>
  <r>
    <x v="204"/>
    <s v="Paiement salaire du mois d'Août 2025/Crepin IBOUILI-IBOUILI"/>
    <s v="Personnel"/>
    <s v="Legal"/>
    <n v="390827"/>
    <n v="696.73335211126994"/>
    <n v="560.94200000000001"/>
    <s v="BCI"/>
    <s v="BQ-AU-R11"/>
    <s v="PALF"/>
    <x v="5"/>
    <s v="Congo"/>
    <m/>
    <m/>
    <m/>
  </r>
  <r>
    <x v="204"/>
    <s v="Paiement salaire du mois d'Août 2025/PINDI BINGA Donald- Roméo"/>
    <s v="Personnel"/>
    <s v="Legal"/>
    <n v="328000"/>
    <n v="584.73068516887668"/>
    <n v="560.94200000000001"/>
    <s v="BCI"/>
    <s v="BQ-AU-R12"/>
    <s v="PALF"/>
    <x v="5"/>
    <s v="Congo"/>
    <m/>
    <m/>
    <m/>
  </r>
  <r>
    <x v="204"/>
    <s v="Paiement salaire du mois d'Août 2025/Evariste LELOUSSI"/>
    <s v="Personnel"/>
    <s v="Media"/>
    <n v="266940"/>
    <n v="475.87807652128026"/>
    <n v="560.94200000000001"/>
    <s v="BCI"/>
    <s v="BQ-AU-R13"/>
    <s v="PALF"/>
    <x v="5"/>
    <s v="Congo"/>
    <m/>
    <m/>
    <m/>
  </r>
  <r>
    <x v="204"/>
    <s v="Paiement salaire du mois d'Août 2025/LOUNDOU JeanRomain/3654422"/>
    <s v="Personnel"/>
    <s v="Legal"/>
    <n v="228800"/>
    <n v="407.88530721536273"/>
    <n v="560.94200000000001"/>
    <s v="BCI"/>
    <s v="BQ-AU-R14"/>
    <s v="PALF"/>
    <x v="5"/>
    <s v="Congo"/>
    <m/>
    <m/>
    <m/>
  </r>
  <r>
    <x v="204"/>
    <s v="Paiement salaire du mois d'Août 2025/Homéfa DOVI/3654425"/>
    <s v="Personnel"/>
    <s v="Management"/>
    <n v="1311000"/>
    <n v="2337.1400251719429"/>
    <n v="560.94200000000001"/>
    <s v="BCI"/>
    <s v="BQ-AU-R15"/>
    <s v="PALF"/>
    <x v="5"/>
    <s v="Congo"/>
    <m/>
    <m/>
    <m/>
  </r>
  <r>
    <x v="204"/>
    <s v="Frais de virement salaire du mois d'Août 2025"/>
    <s v="Bank fees"/>
    <s v="Office"/>
    <n v="10665"/>
    <n v="19.012660845506307"/>
    <n v="560.94200000000001"/>
    <s v="BCI"/>
    <s v="BQ-AU-R16"/>
    <s v="PALF"/>
    <x v="5"/>
    <s v="Congo"/>
    <m/>
    <m/>
    <m/>
  </r>
  <r>
    <x v="205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205"/>
    <s v="Bureau-Maison"/>
    <s v="Transport"/>
    <s v="Management"/>
    <n v="1000"/>
    <m/>
    <n v="560.94200000000001"/>
    <s v="DOVI"/>
    <s v="DH-AU-D1"/>
    <s v="PALF"/>
    <x v="5"/>
    <s v="Congo"/>
    <m/>
    <m/>
    <m/>
  </r>
  <r>
    <x v="205"/>
    <s v="Taxi moto: Hôtel Mithé-Gendarmerie"/>
    <s v="Transport"/>
    <s v="Legal"/>
    <n v="500"/>
    <n v="0.89135775178182408"/>
    <n v="560.94200000000001"/>
    <s v="Crépin"/>
    <s v="CR-AU-D1"/>
    <s v="PALF"/>
    <x v="5"/>
    <s v="Congo"/>
    <m/>
    <m/>
    <m/>
  </r>
  <r>
    <x v="205"/>
    <s v="Bonus pour 16 gendarmes ayant participé à l'opération"/>
    <s v="Travel Subsistence"/>
    <s v="Operation"/>
    <n v="160000"/>
    <n v="285.23448057018373"/>
    <n v="560.94200000000001"/>
    <s v="Crépin"/>
    <s v="CR-AU-R1"/>
    <s v="PALF"/>
    <x v="5"/>
    <s v="Congo"/>
    <m/>
    <m/>
    <m/>
  </r>
  <r>
    <x v="205"/>
    <s v="Bonus pour 02 EF ayant participé à l'opération"/>
    <s v="Travel Subsistence"/>
    <s v="Operation"/>
    <n v="20000"/>
    <n v="35.654310071272967"/>
    <n v="560.94200000000001"/>
    <s v="Crépin"/>
    <s v="CR-AU-R1"/>
    <s v="PALF"/>
    <x v="5"/>
    <s v="Congo"/>
    <m/>
    <m/>
    <m/>
  </r>
  <r>
    <x v="205"/>
    <s v="Taxi moto: Gendarmerie-Hôtel"/>
    <s v="Transport"/>
    <s v="Legal"/>
    <n v="500"/>
    <n v="0.89135775178182408"/>
    <n v="560.94200000000001"/>
    <s v="Crépin"/>
    <s v="CR-AU-D1"/>
    <s v="PALF"/>
    <x v="5"/>
    <s v="Congo"/>
    <m/>
    <m/>
    <m/>
  </r>
  <r>
    <x v="205"/>
    <s v="Taxi: Bureau - Charden Farell/transfert d'argent à Crépin , Evariste et Donald-Roméo"/>
    <s v="Transport"/>
    <s v="Office"/>
    <n v="500"/>
    <n v="0.89135775178182408"/>
    <n v="560.94200000000001"/>
    <s v="Parfaite"/>
    <s v="P-AU-D1"/>
    <s v="PALF"/>
    <x v="5"/>
    <s v="Congo"/>
    <m/>
    <m/>
    <m/>
  </r>
  <r>
    <x v="205"/>
    <s v="Taxi: Charden Farell- Bureau/transferft d'argent"/>
    <s v="Transport"/>
    <s v="Office"/>
    <n v="500"/>
    <n v="0.89135775178182408"/>
    <n v="560.94200000000001"/>
    <s v="Parfaite"/>
    <s v="P-AU-D1"/>
    <s v="PALF"/>
    <x v="5"/>
    <s v="Congo"/>
    <m/>
    <m/>
    <m/>
  </r>
  <r>
    <x v="205"/>
    <s v="P29 -CONGO Frais d'hotel du 23 au 26/08/2025 à Impfondo lieu op(T73) (03 Nuitées)"/>
    <s v="Travel Subsistence"/>
    <s v="Investigation"/>
    <n v="75000"/>
    <n v="133.70366276727361"/>
    <n v="560.94200000000001"/>
    <s v="P29"/>
    <s v="P29-AU-R10"/>
    <s v="PALF"/>
    <x v="5"/>
    <s v="Congo"/>
    <m/>
    <m/>
    <m/>
  </r>
  <r>
    <x v="205"/>
    <s v="P29 -CONGO Frais d'hotel du 23 au 26/08/2025 à Impfondo lieu op(Crépin) (03 Nuitées)"/>
    <s v="Travel Subsistence"/>
    <s v="Investigation"/>
    <n v="75000"/>
    <n v="133.70366276727361"/>
    <n v="560.94200000000001"/>
    <s v="P29"/>
    <s v="P29-AU-R11"/>
    <s v="PALF"/>
    <x v="5"/>
    <s v="Congo"/>
    <m/>
    <m/>
    <m/>
  </r>
  <r>
    <x v="205"/>
    <s v="Taxi moto : hotel paulina - centre ville ( prospection a enyele)"/>
    <s v="Transport"/>
    <s v="Investigation"/>
    <n v="500"/>
    <n v="0.89135775178182408"/>
    <n v="560.94200000000001"/>
    <s v="T73"/>
    <s v="T73-AU-D1"/>
    <s v="PALF"/>
    <x v="5"/>
    <s v="Congo"/>
    <m/>
    <m/>
    <m/>
  </r>
  <r>
    <x v="205"/>
    <s v="Taxi moto : centre ville - hotel ( prospection a enyele)"/>
    <s v="Transport"/>
    <s v="Investigation"/>
    <n v="500"/>
    <n v="0.89135775178182408"/>
    <n v="560.94200000000001"/>
    <s v="T73"/>
    <s v="T73-AU-D1"/>
    <s v="PALF"/>
    <x v="5"/>
    <s v="Congo"/>
    <m/>
    <m/>
    <m/>
  </r>
  <r>
    <x v="205"/>
    <s v="Achat eau mineral 10 LITRES/Bureau"/>
    <s v="Office Materiels"/>
    <s v="Office "/>
    <n v="25000"/>
    <n v="44.567887589091207"/>
    <n v="560.94200000000001"/>
    <s v="Abraham"/>
    <s v="CA-AU-R13"/>
    <s v="PALF"/>
    <x v="5"/>
    <s v="Congo"/>
    <m/>
    <m/>
    <m/>
  </r>
  <r>
    <x v="205"/>
    <s v="Taxi moto Hôtel Mithé-La Brigade de Recherche/ Pour la visite geôle du 26/08/2025 à 07h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5"/>
    <s v="Ration d'une prevenue/ MOUKAHOU Clarisse/ A la gandarmerie d'Impfondo/Matin"/>
    <s v="Jail visit"/>
    <s v="Legal"/>
    <n v="1500"/>
    <n v="2.6740732553454722"/>
    <n v="560.94200000000001"/>
    <s v="Donald-Romeo"/>
    <s v="DR-AU-D3"/>
    <s v="PALF"/>
    <x v="5"/>
    <s v="Congo"/>
    <m/>
    <m/>
    <m/>
  </r>
  <r>
    <x v="205"/>
    <s v="Taxi moto La Brigade de Recherche- Hôtel Mithé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5"/>
    <s v="Taxi moto Hôtel Mithé-La gendarmerie/ Auditions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5"/>
    <s v="Taxi moto La gendarmerie- Hôtel Mithé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5"/>
    <s v="Taxi moto Hôtel Mithé-La Brigade de Recherche/ Pour la visite geôle du 26/08/2025 à 20h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5"/>
    <s v="Ration d'une prevenue/ MOUKAHOU Clarisse/ A la gandarmerie d'Impfondo/Soir"/>
    <s v="Jail visit"/>
    <s v="Legal"/>
    <n v="1500"/>
    <n v="2.6740732553454722"/>
    <n v="560.94200000000001"/>
    <s v="Donald-Romeo"/>
    <s v="DR-AU-D3"/>
    <s v="PALF"/>
    <x v="5"/>
    <s v="Congo"/>
    <m/>
    <m/>
    <m/>
  </r>
  <r>
    <x v="205"/>
    <s v="Taxi moto La Brigade de Recherche- Hôtel Mithé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5"/>
    <s v="Taxi moto, Hôtel Mithé2-Region de gendarmerie"/>
    <s v="Transport"/>
    <s v="Media"/>
    <n v="500"/>
    <n v="0.89135775178182408"/>
    <n v="560.94200000000001"/>
    <s v="Evariste"/>
    <s v="EV-AU-D1"/>
    <s v="PALF"/>
    <x v="5"/>
    <s v="Congo"/>
    <m/>
    <m/>
    <m/>
  </r>
  <r>
    <x v="205"/>
    <s v="Taxi moto, Région de gendarmerie-Charden Farell"/>
    <s v="Transport"/>
    <s v="Media"/>
    <n v="500"/>
    <n v="0.89135775178182408"/>
    <n v="560.94200000000001"/>
    <s v="Evariste"/>
    <s v="EV-AU-D1"/>
    <s v="PALF"/>
    <x v="5"/>
    <s v="Congo"/>
    <m/>
    <m/>
    <m/>
  </r>
  <r>
    <x v="205"/>
    <s v="Taxi moto, Charden Farell-Region de gendarmerie"/>
    <s v="Transport"/>
    <s v="Media"/>
    <n v="500"/>
    <n v="0.89135775178182408"/>
    <n v="560.94200000000001"/>
    <s v="Evariste"/>
    <s v="EV-AU-D1"/>
    <s v="PALF"/>
    <x v="5"/>
    <s v="Congo"/>
    <m/>
    <m/>
    <m/>
  </r>
  <r>
    <x v="205"/>
    <s v="Taxi moto, Région de Gendarmerie-Hôtel Mithé2"/>
    <s v="Transport"/>
    <s v="Media"/>
    <n v="500"/>
    <n v="0.89135775178182408"/>
    <n v="560.94200000000001"/>
    <s v="Evariste"/>
    <s v="EV-AU-D1"/>
    <s v="PALF"/>
    <x v="5"/>
    <s v="Congo"/>
    <m/>
    <m/>
    <m/>
  </r>
  <r>
    <x v="205"/>
    <s v="Bonus media portant sur le bilan des activités PALF de Janvier à Juillet pièces presse Internet"/>
    <s v="Bonus to media officer"/>
    <s v="Media"/>
    <n v="84000"/>
    <n v="149.74810229934644"/>
    <n v="560.94200000000001"/>
    <s v="Evariste"/>
    <s v="CA-AU-D1"/>
    <s v="PALF"/>
    <x v="5"/>
    <s v="Congo"/>
    <m/>
    <m/>
    <m/>
  </r>
  <r>
    <x v="205"/>
    <s v="Bonus media portant sur le bilan des activités PALF de Janvier à Juillet pièces presse Papier"/>
    <s v="Bonus to media officer"/>
    <s v="Media"/>
    <n v="40000"/>
    <n v="71.308620142545934"/>
    <n v="560.94200000000001"/>
    <s v="Evariste"/>
    <s v="CA-AU-D2"/>
    <s v="PALF"/>
    <x v="5"/>
    <s v="Congo"/>
    <m/>
    <m/>
    <m/>
  </r>
  <r>
    <x v="205"/>
    <s v="Bonus media portant sur le bilan des activités PALF de Janvier à Juillet pièces Radio"/>
    <s v="Bonus to media officer"/>
    <s v="Media"/>
    <n v="6000"/>
    <n v="10.696293021381889"/>
    <n v="560.94200000000001"/>
    <s v="Evariste"/>
    <s v="CA-AU-D3"/>
    <s v="PALF"/>
    <x v="5"/>
    <s v="Congo"/>
    <m/>
    <m/>
    <m/>
  </r>
  <r>
    <x v="205"/>
    <s v="Taxi: Bureau-Charden Farell/Pour le transfert d'argent"/>
    <s v="Transport"/>
    <s v="Legal"/>
    <n v="500"/>
    <n v="0.89135775178182408"/>
    <n v="560.94200000000001"/>
    <s v="Romain"/>
    <s v="RM-AU-D1"/>
    <s v="PALF"/>
    <x v="5"/>
    <s v="Congo"/>
    <m/>
    <m/>
    <m/>
  </r>
  <r>
    <x v="205"/>
    <s v="Frais de tansfert d'argent à Evariste"/>
    <s v="Transfert fees"/>
    <s v="Office"/>
    <n v="3900"/>
    <n v="6.9525904638982281"/>
    <n v="560.94200000000001"/>
    <s v="Romain"/>
    <s v="CA-AU-R12"/>
    <s v="PALF"/>
    <x v="5"/>
    <s v="Congo"/>
    <m/>
    <m/>
    <m/>
  </r>
  <r>
    <x v="205"/>
    <s v="Taxi: Charden Farell-Bureau"/>
    <s v="Transport"/>
    <s v="Legal"/>
    <n v="500"/>
    <n v="0.89135775178182408"/>
    <n v="560.94200000000001"/>
    <s v="Romain"/>
    <s v="RM-AU-D1"/>
    <s v="PALF"/>
    <x v="5"/>
    <s v="Congo"/>
    <m/>
    <m/>
    <m/>
  </r>
  <r>
    <x v="206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206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206"/>
    <s v="Taxi moto: Hôtel-Gendarmerie"/>
    <s v="Transport"/>
    <s v="Legal"/>
    <n v="500"/>
    <n v="0.89135775178182408"/>
    <n v="560.94200000000001"/>
    <s v="Crépin"/>
    <s v="CR-AU-D1"/>
    <s v="PALF"/>
    <x v="5"/>
    <s v="Congo"/>
    <m/>
    <m/>
    <m/>
  </r>
  <r>
    <x v="206"/>
    <s v="Taxi moto: Gendarmerie-Hôtel Mithé"/>
    <s v="Transport"/>
    <s v="Legal"/>
    <n v="500"/>
    <n v="0.89135775178182408"/>
    <n v="560.94200000000001"/>
    <s v="Crépin"/>
    <s v="CR-AU-D1"/>
    <s v="PALF"/>
    <x v="5"/>
    <s v="Congo"/>
    <m/>
    <m/>
    <m/>
  </r>
  <r>
    <x v="206"/>
    <s v=" Frais de prestation de nettoyage jardin PALF Août 2025"/>
    <s v="Services"/>
    <s v="Office"/>
    <n v="20000"/>
    <n v="35.654310071272967"/>
    <n v="560.94200000000001"/>
    <s v="Parfaite"/>
    <s v="CA-AU-R16"/>
    <s v="PALF"/>
    <x v="5"/>
    <s v="Congo"/>
    <m/>
    <m/>
    <m/>
  </r>
  <r>
    <x v="206"/>
    <s v="Reglement prestation de nettoyage  PALF du mois de Août 2025"/>
    <s v="Services"/>
    <s v="Office"/>
    <n v="75625"/>
    <n v="134.81785995700091"/>
    <n v="560.94200000000001"/>
    <s v="Parfaite"/>
    <s v="CA-AU-R17"/>
    <s v="PALF"/>
    <x v="5"/>
    <s v="Congo"/>
    <m/>
    <m/>
    <m/>
  </r>
  <r>
    <x v="206"/>
    <s v="Frais de tansfert d'argent à crépin, Donald-Roméo et Evariste "/>
    <s v="Transfert fees"/>
    <s v="Office"/>
    <n v="10020"/>
    <n v="17.862809345707756"/>
    <n v="560.94200000000001"/>
    <s v="Parfaite"/>
    <s v="CA-AU-R18"/>
    <s v="PALF"/>
    <x v="5"/>
    <s v="Congo"/>
    <m/>
    <m/>
    <m/>
  </r>
  <r>
    <x v="206"/>
    <s v="Taxi : Bureau - Mitoko/ Prospection"/>
    <s v="Transport"/>
    <s v="Investigation"/>
    <n v="2000"/>
    <n v="3.5654310071272963"/>
    <n v="560.94200000000001"/>
    <s v="IT87"/>
    <s v="IT87-AU-D1"/>
    <s v="PALF"/>
    <x v="5"/>
    <s v="Congo"/>
    <m/>
    <m/>
    <m/>
  </r>
  <r>
    <x v="206"/>
    <s v="Taxi : Mitoko - PK/ Prospection"/>
    <s v="Transport"/>
    <s v="Investigation"/>
    <n v="2000"/>
    <n v="3.5654310071272963"/>
    <n v="560.94200000000001"/>
    <s v="IT87"/>
    <s v="IT87-AU-D1"/>
    <s v="PALF"/>
    <x v="5"/>
    <s v="Congo"/>
    <m/>
    <m/>
    <m/>
  </r>
  <r>
    <x v="206"/>
    <s v="Taxi : PK - Kinsoundi/ Prospection"/>
    <s v="Transport"/>
    <s v="Investigation"/>
    <n v="1000"/>
    <n v="1.7827155035636482"/>
    <n v="560.94200000000001"/>
    <s v="IT87"/>
    <s v="IT87-AU-D1"/>
    <s v="PALF"/>
    <x v="5"/>
    <s v="Congo"/>
    <m/>
    <m/>
    <m/>
  </r>
  <r>
    <x v="206"/>
    <s v="Taxi : Kinsoundi - Domicile/ Retour de prospection"/>
    <s v="Transport"/>
    <s v="Investigation"/>
    <n v="1500"/>
    <n v="2.6740732553454722"/>
    <n v="560.94200000000001"/>
    <s v="IT87"/>
    <s v="IT87-AU-D1"/>
    <s v="PALF"/>
    <x v="5"/>
    <s v="Congo"/>
    <m/>
    <m/>
    <m/>
  </r>
  <r>
    <x v="206"/>
    <s v="Taxi:Bureau-Agence océan du nord de la liberté pour la reservation des billets "/>
    <s v="Transport"/>
    <s v="Legal"/>
    <n v="1000"/>
    <n v="1.7827155035636482"/>
    <n v="560.94200000000001"/>
    <s v="Roderlin"/>
    <s v="RO-AU-D1"/>
    <s v="PALF"/>
    <x v="5"/>
    <s v="Congo"/>
    <m/>
    <m/>
    <m/>
  </r>
  <r>
    <x v="206"/>
    <s v="Taxi:Agence Océan du nord de la liberté-Bureau"/>
    <s v="Transport"/>
    <s v="Legal"/>
    <n v="1000"/>
    <n v="1.7827155035636482"/>
    <n v="560.94200000000001"/>
    <s v="Roderlin"/>
    <s v="RO-AU-D1"/>
    <s v="PALF"/>
    <x v="5"/>
    <s v="Congo"/>
    <m/>
    <m/>
    <m/>
  </r>
  <r>
    <x v="206"/>
    <s v="Frais de transport mission Maitre Alain à Impfondo du 28 /08au 01/09/2025"/>
    <s v="Transport"/>
    <s v="Legal"/>
    <n v="84000"/>
    <n v="149.74810229934644"/>
    <n v="560.94200000000001"/>
    <s v="Roderlin"/>
    <s v="CA-AU-R14"/>
    <s v="PALF"/>
    <x v="5"/>
    <s v="Congo"/>
    <m/>
    <m/>
    <m/>
  </r>
  <r>
    <x v="206"/>
    <s v="Ration et frais d'hotel mission maitre Alain à Impfondo du 28/08 au 01/09/2025"/>
    <s v="Travel Subsistence"/>
    <s v="Legal"/>
    <n v="100000"/>
    <n v="178.27155035636483"/>
    <n v="560.94200000000001"/>
    <s v="Roderlin"/>
    <s v="CA-AU-R15"/>
    <s v="PALF"/>
    <x v="5"/>
    <s v="Congo"/>
    <m/>
    <m/>
    <m/>
  </r>
  <r>
    <x v="206"/>
    <s v="Taxi:Bureau-Cabinet BANZOUZI pour la rémise du budget"/>
    <s v="Transport"/>
    <s v="Legal"/>
    <n v="1000"/>
    <n v="1.7827155035636482"/>
    <n v="560.94200000000001"/>
    <s v="Roderlin"/>
    <s v="RO-AU-D1"/>
    <s v="PALF"/>
    <x v="5"/>
    <s v="Congo"/>
    <m/>
    <m/>
    <m/>
  </r>
  <r>
    <x v="206"/>
    <s v="Taxi:Cabinet BANZOUZI-Bureau"/>
    <s v="Transport"/>
    <s v="Legal"/>
    <n v="1000"/>
    <n v="1.7827155035636482"/>
    <n v="560.94200000000001"/>
    <s v="Roderlin"/>
    <s v="RO-AU-D1"/>
    <s v="PALF"/>
    <x v="5"/>
    <s v="Congo"/>
    <m/>
    <m/>
    <m/>
  </r>
  <r>
    <x v="206"/>
    <s v="Taxi moto Hôtel Mithé-La Brigade de Recherche/ Pour la visite geôle du 27/08/2025 à 07h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6"/>
    <s v="Ration d'une prevenue/ MOUKAHOU Clarisse/ A la gandarmerie d'Impfondo/Matin"/>
    <s v="Jail visit"/>
    <s v="Legal"/>
    <n v="1500"/>
    <n v="2.6740732553454722"/>
    <n v="560.94200000000001"/>
    <s v="Donald-Romeo"/>
    <s v="DR-AU-D3"/>
    <s v="PALF"/>
    <x v="5"/>
    <s v="Congo"/>
    <m/>
    <m/>
    <m/>
  </r>
  <r>
    <x v="206"/>
    <s v="Taxi moto La Brigade de Recherche- Hôtel Mithé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6"/>
    <s v="Taxi moto Hôtel Mithé-La gendarmerie/ Comptages des écailles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6"/>
    <s v="Taxi moto La gendarmerie- DDEF/ Saisie de la procédure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6"/>
    <s v="Taxi moto DDEF-Charden farell/ Retrait de fonds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6"/>
    <s v="Taxi moto Charden farell-Hôtel Mithé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6"/>
    <s v="Taxi moto Hôtel Mithé-La Brigade de Recherche/ Pour la visite geôle du 27/08/2025 à 20h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6"/>
    <s v="Ration d'une prevenue/ MOUKAHOU Clarisse/ A la gandarmerie d'Impfondo/Soir"/>
    <s v="Jail visit"/>
    <s v="Legal"/>
    <n v="1500"/>
    <n v="2.6740732553454722"/>
    <n v="560.94200000000001"/>
    <s v="Donald-Romeo"/>
    <s v="DR-AU-D3"/>
    <s v="PALF"/>
    <x v="5"/>
    <s v="Congo"/>
    <m/>
    <m/>
    <m/>
  </r>
  <r>
    <x v="206"/>
    <s v="Taxi moto La Brigade de Recherche- Hôtel Mithé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6"/>
    <s v="Taxi moto, Hôtel Mithé2-Région de Gendarmerie"/>
    <s v="Transport"/>
    <s v="Media"/>
    <n v="500"/>
    <n v="0.89135775178182408"/>
    <n v="560.94200000000001"/>
    <s v="Evariste"/>
    <s v="EV-AU-D1"/>
    <s v="PALF"/>
    <x v="5"/>
    <s v="Congo"/>
    <m/>
    <m/>
    <m/>
  </r>
  <r>
    <x v="206"/>
    <s v="Taxi moto, Région de Gendarmerie-Hôtel Mithé2"/>
    <s v="Transport"/>
    <s v="Media"/>
    <n v="500"/>
    <n v="0.89135775178182408"/>
    <n v="560.94200000000001"/>
    <s v="Evariste"/>
    <s v="EV-AU-D1"/>
    <s v="PALF"/>
    <x v="5"/>
    <s v="Congo"/>
    <m/>
    <m/>
    <m/>
  </r>
  <r>
    <x v="207"/>
    <s v=" Achat billet Brazzaville-Impfondo / Roderlin"/>
    <s v="Transport"/>
    <s v="Legal"/>
    <n v="37000"/>
    <n v="65.960473631854981"/>
    <n v="560.94200000000001"/>
    <s v="Roderlin"/>
    <s v="RO-AU-R7"/>
    <s v="PALF"/>
    <x v="5"/>
    <s v="Congo"/>
    <m/>
    <m/>
    <m/>
  </r>
  <r>
    <x v="207"/>
    <s v="Maison-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207"/>
    <s v="Bureau-Cabinet d'huissier"/>
    <s v="Transport"/>
    <s v="Management"/>
    <n v="1000"/>
    <n v="1.7827155035636482"/>
    <n v="560.94200000000001"/>
    <s v="DOVI"/>
    <s v="DH-AU-D1"/>
    <s v="PALF"/>
    <x v="5"/>
    <s v="Congo"/>
    <m/>
    <m/>
    <m/>
  </r>
  <r>
    <x v="207"/>
    <s v="Cabinet d'huissier - 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207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207"/>
    <s v="Taxi moto: Hôtel-Gendarmerie"/>
    <s v="Transport"/>
    <s v="Legal"/>
    <n v="500"/>
    <n v="0.89135775178182408"/>
    <n v="560.94200000000001"/>
    <s v="Crépin"/>
    <s v="CR-AU-D1"/>
    <s v="PALF"/>
    <x v="5"/>
    <s v="Congo"/>
    <m/>
    <m/>
    <m/>
  </r>
  <r>
    <x v="207"/>
    <s v="Taxi moto: Gendarmerie-Hôtel"/>
    <s v="Transport"/>
    <s v="Legal"/>
    <n v="500"/>
    <n v="0.89135775178182408"/>
    <n v="560.94200000000001"/>
    <s v="Crépin"/>
    <s v="CR-AU-D1"/>
    <s v="PALF"/>
    <x v="5"/>
    <s v="Congo"/>
    <m/>
    <m/>
    <m/>
  </r>
  <r>
    <x v="207"/>
    <s v="Taxi moto hotel-marché,pour prospection"/>
    <s v="Transport"/>
    <s v="Investigation"/>
    <n v="500"/>
    <n v="0.89135775178182408"/>
    <n v="560.94200000000001"/>
    <s v="P29"/>
    <s v="P29-AU-D1"/>
    <s v="PALF"/>
    <x v="5"/>
    <s v="Congo"/>
    <m/>
    <m/>
    <m/>
  </r>
  <r>
    <x v="207"/>
    <s v="Taxi moto marché-centre,prospection"/>
    <s v="Transport"/>
    <s v="Investigation"/>
    <n v="500"/>
    <n v="0.89135775178182408"/>
    <n v="560.94200000000001"/>
    <s v="P29"/>
    <s v="P29-AU-D1"/>
    <s v="PALF"/>
    <x v="5"/>
    <s v="Congo"/>
    <m/>
    <m/>
    <m/>
  </r>
  <r>
    <x v="207"/>
    <s v="Taxi moto centre-hotel"/>
    <s v="Transport"/>
    <s v="Investigation"/>
    <n v="500"/>
    <n v="0.89135775178182408"/>
    <n v="560.94200000000001"/>
    <s v="P29"/>
    <s v="P29-AU-D1"/>
    <s v="PALF"/>
    <x v="5"/>
    <s v="Congo"/>
    <m/>
    <m/>
    <m/>
  </r>
  <r>
    <x v="207"/>
    <s v="Taxi: Domicile - marché  tagoma / prospection"/>
    <s v="Transport"/>
    <s v="Investigation"/>
    <n v="1000"/>
    <n v="1.7827155035636482"/>
    <n v="560.94200000000001"/>
    <s v="G12"/>
    <s v="G12-AU-D1"/>
    <s v="PALF"/>
    <x v="5"/>
    <s v="Congo"/>
    <m/>
    <m/>
    <m/>
  </r>
  <r>
    <x v="207"/>
    <s v="Taxi:Macrché tagoma - 5 chemin / prospection"/>
    <s v="Transport"/>
    <s v="Investigation"/>
    <n v="1000"/>
    <n v="1.7827155035636482"/>
    <n v="560.94200000000001"/>
    <s v="G12"/>
    <s v="G12-AU-D1"/>
    <s v="PALF"/>
    <x v="5"/>
    <s v="Congo"/>
    <m/>
    <m/>
    <m/>
  </r>
  <r>
    <x v="207"/>
    <s v="Taxi:5 chemin - matour / prospection"/>
    <s v="Transport"/>
    <s v="Investigation"/>
    <n v="1000"/>
    <n v="1.7827155035636482"/>
    <n v="560.94200000000001"/>
    <s v="G12"/>
    <s v="G12-AU-D1"/>
    <s v="PALF"/>
    <x v="5"/>
    <s v="Congo"/>
    <m/>
    <m/>
    <m/>
  </r>
  <r>
    <x v="207"/>
    <s v="Taxi: Matour: domicile"/>
    <s v="Transport"/>
    <s v="Investigation"/>
    <n v="1000"/>
    <n v="1.7827155035636482"/>
    <n v="560.94200000000001"/>
    <s v="G12"/>
    <s v="G12-AU-D1"/>
    <s v="PALF"/>
    <x v="5"/>
    <s v="Congo"/>
    <m/>
    <m/>
    <m/>
  </r>
  <r>
    <x v="207"/>
    <s v="Taxi:Domicile-Agence Océan du nord de Talangaî "/>
    <s v="Transport"/>
    <s v="Legal"/>
    <n v="1000"/>
    <n v="1.7827155035636482"/>
    <n v="560.94200000000001"/>
    <s v="Roderlin"/>
    <s v="RO-AU-D1"/>
    <s v="PALF"/>
    <x v="5"/>
    <s v="Congo"/>
    <m/>
    <m/>
    <m/>
  </r>
  <r>
    <x v="207"/>
    <s v="Taxi:Agence Océan du nord de Ouesso-Hôtel Divine "/>
    <s v="Transport"/>
    <s v="Legal"/>
    <n v="500"/>
    <n v="0.89135775178182408"/>
    <n v="560.94200000000001"/>
    <s v="Roderlin"/>
    <s v="RO-AU-D1"/>
    <s v="PALF"/>
    <x v="5"/>
    <s v="Congo"/>
    <m/>
    <m/>
    <m/>
  </r>
  <r>
    <x v="207"/>
    <s v="RODERLIN-CONGO Ration du 28/08/ au 01/09/2025 à Ouesso/Enyele/ Impfondo (04 nuitées)"/>
    <s v="Travel Subsistence"/>
    <s v="Legal"/>
    <n v="40000"/>
    <n v="71.308620142545934"/>
    <n v="560.94200000000001"/>
    <s v="Roderlin"/>
    <s v="RO-AU-D4"/>
    <s v="PALF"/>
    <x v="5"/>
    <s v="Congo"/>
    <m/>
    <m/>
    <m/>
  </r>
  <r>
    <x v="207"/>
    <s v="Taxi moto Hôtel Mithé-La Brigade de Recherche/ Pour la visite geôle du 28/08/2025 à 07h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7"/>
    <s v="Ration d'une prevenue/ MOUKAHOU Clarisse/ A la gandarmerie d'Impfondo/Matin"/>
    <s v="Jail visit"/>
    <s v="Legal"/>
    <n v="1500"/>
    <n v="2.6740732553454722"/>
    <n v="560.94200000000001"/>
    <s v="Donald-Romeo"/>
    <s v="DR-AU-D3"/>
    <s v="PALF"/>
    <x v="5"/>
    <s v="Congo"/>
    <m/>
    <m/>
    <m/>
  </r>
  <r>
    <x v="207"/>
    <s v="Taxi moto La Brigade de Recherche- Hôtel Mithé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7"/>
    <s v="Taxi moto Hôtel Mithé-La gendarmerie/ Comptages des écailles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7"/>
    <s v="Taxi moto La gendarmerie- DDEF/ Saisie de la procédure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7"/>
    <s v="Taxi moto DDEF-Hôtel Mithé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7"/>
    <s v="Taxi moto Hôtel Mithé-La Brigade de Recherche/ Pour la visite geôle du 28/08/2025 à 20h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7"/>
    <s v="Ration d'une prevenue/ MOUKAHOU Clarisse/ A la gandarmerie d'Impfondo/Soir"/>
    <s v="Jail visit"/>
    <s v="Legal"/>
    <n v="1500"/>
    <n v="2.6740732553454722"/>
    <n v="560.94200000000001"/>
    <s v="Donald-Romeo"/>
    <s v="DR-AU-D3"/>
    <s v="PALF"/>
    <x v="5"/>
    <s v="Congo"/>
    <m/>
    <m/>
    <m/>
  </r>
  <r>
    <x v="207"/>
    <s v="Taxi moto La Brigade de Recherche- Hôtel Mithé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7"/>
    <s v="Taxi moto, Hôtel Mithé2-Agence Océan du Nord d'Impfondo"/>
    <s v="Transport"/>
    <s v="Media"/>
    <n v="500"/>
    <n v="0.89135775178182408"/>
    <n v="560.94200000000001"/>
    <s v="Evariste"/>
    <s v="EV-AU-D1"/>
    <s v="PALF"/>
    <x v="5"/>
    <s v="Congo"/>
    <m/>
    <m/>
    <m/>
  </r>
  <r>
    <x v="207"/>
    <s v="Taxi moto, Agence Océan du Nord d'Impfondo-Hôtel Mité 2"/>
    <s v="Transport"/>
    <s v="Media"/>
    <n v="500"/>
    <n v="0.89135775178182408"/>
    <n v="560.94200000000001"/>
    <s v="Evariste"/>
    <s v="EV-AU-D1"/>
    <s v="PALF"/>
    <x v="5"/>
    <s v="Congo"/>
    <m/>
    <m/>
    <m/>
  </r>
  <r>
    <x v="208"/>
    <s v="Maison-Cabinet d'huissier"/>
    <s v="Transport"/>
    <s v="Management"/>
    <n v="1000"/>
    <n v="1.7827155035636482"/>
    <n v="560.94200000000001"/>
    <s v="DOVI"/>
    <s v="DH-AU-D1"/>
    <s v="PALF"/>
    <x v="5"/>
    <s v="Congo"/>
    <m/>
    <m/>
    <m/>
  </r>
  <r>
    <x v="208"/>
    <s v="Cabinet d'huissier - Bureau"/>
    <s v="Transport"/>
    <s v="Management"/>
    <n v="1000"/>
    <n v="1.7827155035636482"/>
    <n v="560.94200000000001"/>
    <s v="DOVI"/>
    <s v="DH-AU-D1"/>
    <s v="PALF"/>
    <x v="5"/>
    <s v="Congo"/>
    <m/>
    <m/>
    <m/>
  </r>
  <r>
    <x v="208"/>
    <s v="Bureau-Maison"/>
    <s v="Transport"/>
    <s v="Management"/>
    <n v="1000"/>
    <n v="1.7827155035636482"/>
    <n v="560.94200000000001"/>
    <s v="DOVI"/>
    <s v="DH-AU-D1"/>
    <s v="PALF"/>
    <x v="5"/>
    <s v="Congo"/>
    <m/>
    <m/>
    <m/>
  </r>
  <r>
    <x v="208"/>
    <s v="Taxi moto: Hôtel-Parquet"/>
    <s v="Transport"/>
    <s v="Legal"/>
    <n v="500"/>
    <n v="0.89135775178182408"/>
    <n v="560.94200000000001"/>
    <s v="Crépin"/>
    <s v="CR-AU-D1"/>
    <s v="PALF"/>
    <x v="5"/>
    <s v="Congo"/>
    <m/>
    <m/>
    <m/>
  </r>
  <r>
    <x v="208"/>
    <s v="Taxi moto: Parquet-Hôtel"/>
    <s v="Transport"/>
    <s v="Legal"/>
    <n v="500"/>
    <n v="0.89135775178182408"/>
    <n v="560.94200000000001"/>
    <s v="Crépin"/>
    <s v="CR-AU-D1"/>
    <s v="PALF"/>
    <x v="5"/>
    <s v="Congo"/>
    <m/>
    <m/>
    <m/>
  </r>
  <r>
    <x v="208"/>
    <s v="Taxi:Bureau- Direction Canal Box/ Paiement internet du mois deSeptembre2025"/>
    <s v="Transport"/>
    <s v="Office"/>
    <n v="1000"/>
    <n v="1.7827155035636482"/>
    <n v="560.94200000000001"/>
    <s v="Parfaite"/>
    <s v="P-AU-D1"/>
    <s v="PALF"/>
    <x v="5"/>
    <s v="Congo"/>
    <m/>
    <m/>
    <m/>
  </r>
  <r>
    <x v="208"/>
    <s v="Taxi: Direction Canal Box-Bureau/ Paiement internet du mois de Septembre 2025"/>
    <s v="Transport"/>
    <s v="Office"/>
    <n v="1000"/>
    <n v="1.7827155035636482"/>
    <n v="560.94200000000001"/>
    <s v="Parfaite"/>
    <s v="P-AU-D1"/>
    <s v="PALF"/>
    <x v="5"/>
    <s v="Congo"/>
    <m/>
    <m/>
    <m/>
  </r>
  <r>
    <x v="208"/>
    <s v="Frais de ramassage Ordure d'Août 2025"/>
    <s v="Rent &amp; Utilities"/>
    <s v="Office"/>
    <n v="6000"/>
    <n v="10.696293021381889"/>
    <n v="560.94200000000001"/>
    <s v="Parfaite"/>
    <s v="CA-AU-R19"/>
    <s v="PALF"/>
    <x v="5"/>
    <s v="Congo"/>
    <m/>
    <m/>
    <m/>
  </r>
  <r>
    <x v="208"/>
    <s v="Reglement facture internet periode du 01/09 au 30/09/2025 bureau PALF"/>
    <s v="Internet"/>
    <s v="Office"/>
    <n v="45050"/>
    <n v="80.311333435542352"/>
    <n v="560.94200000000001"/>
    <s v="Parfaite"/>
    <s v="CA-AU-R20"/>
    <s v="PALF"/>
    <x v="5"/>
    <s v="Congo"/>
    <m/>
    <m/>
    <m/>
  </r>
  <r>
    <x v="208"/>
    <s v="Taxi moto hotel-agence,achat billet"/>
    <s v="Transport"/>
    <s v="Investigation"/>
    <n v="500"/>
    <n v="0.89135775178182408"/>
    <n v="560.94200000000001"/>
    <s v="P29"/>
    <s v="P29-AU-D1"/>
    <s v="PALF"/>
    <x v="5"/>
    <s v="Congo"/>
    <m/>
    <m/>
    <m/>
  </r>
  <r>
    <x v="208"/>
    <s v="Taxi moto agence-hotel"/>
    <s v="Transport"/>
    <s v="Investigation"/>
    <n v="500"/>
    <n v="0.89135775178182408"/>
    <n v="560.94200000000001"/>
    <s v="P29"/>
    <s v="P29-AU-D1"/>
    <s v="PALF"/>
    <x v="5"/>
    <s v="Congo"/>
    <m/>
    <m/>
    <m/>
  </r>
  <r>
    <x v="208"/>
    <s v="Taxi: Bureau-Charden Farel/Transfert des fonds"/>
    <s v="Transport"/>
    <s v="Legal"/>
    <n v="500"/>
    <n v="0.89135775178182408"/>
    <n v="560.94200000000001"/>
    <s v="Abraham"/>
    <s v="AB-AU-D1"/>
    <s v="PALF"/>
    <x v="5"/>
    <s v="Congo"/>
    <m/>
    <m/>
    <m/>
  </r>
  <r>
    <x v="208"/>
    <s v="Taxi: Charden-Farel Bureau"/>
    <s v="Transport"/>
    <s v="Legal"/>
    <n v="500"/>
    <n v="0.89135775178182408"/>
    <n v="560.94200000000001"/>
    <s v="Abraham"/>
    <s v="AB-AU-D1"/>
    <s v="PALF"/>
    <x v="5"/>
    <s v="Congo"/>
    <m/>
    <m/>
    <m/>
  </r>
  <r>
    <x v="208"/>
    <s v="Frais de tansfert d'argent à Evariste"/>
    <s v="Transfert fees"/>
    <s v="Office"/>
    <n v="8250"/>
    <n v="14.707402904400098"/>
    <n v="560.94200000000001"/>
    <s v="Abraham"/>
    <s v="CA-AU-R21"/>
    <s v="PALF"/>
    <x v="5"/>
    <s v="Congo"/>
    <m/>
    <m/>
    <m/>
  </r>
  <r>
    <x v="208"/>
    <s v="RODERLIN-CONGO Frais d'hôtel du 28 au 29/08/2025 à Ouesso (01 nuitée)"/>
    <s v="Travel Subsistence"/>
    <s v="Legal"/>
    <n v="15000"/>
    <n v="26.740732553454723"/>
    <n v="560.94200000000001"/>
    <s v="Roderlin"/>
    <s v="RO-AU-R8"/>
    <s v="PALF"/>
    <x v="5"/>
    <s v="Congo"/>
    <m/>
    <m/>
    <m/>
  </r>
  <r>
    <x v="208"/>
    <s v="Taxi:Hôtel Divine-Agence Océan du nord de Ouesso"/>
    <s v="Transport"/>
    <s v="Legal"/>
    <n v="500"/>
    <n v="0.89135775178182408"/>
    <n v="560.94200000000001"/>
    <s v="Roderlin"/>
    <s v="RO-AU-D1"/>
    <s v="PALF"/>
    <x v="5"/>
    <s v="Congo"/>
    <m/>
    <m/>
    <m/>
  </r>
  <r>
    <x v="208"/>
    <s v="Taxi-moto:Agence Océan du nord de Enyele-Hôtel Paulina "/>
    <s v="Transport"/>
    <s v="Legal"/>
    <n v="500"/>
    <n v="0.89135775178182408"/>
    <n v="560.94200000000001"/>
    <s v="Roderlin"/>
    <s v="RO-AU-D1"/>
    <s v="PALF"/>
    <x v="5"/>
    <s v="Congo"/>
    <m/>
    <m/>
    <m/>
  </r>
  <r>
    <x v="208"/>
    <s v="Taxi moto Hôtel Mithé-La Brigade de Recherche/ Pour la visite geôle du 29/08/2025 à 07h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8"/>
    <s v="Ration d'une prevenue/ MOUKAHOU Clarisse/ A la gandarmerie d'Impfondo/Matin"/>
    <s v="Jail visit"/>
    <s v="Legal"/>
    <n v="1500"/>
    <n v="2.6740732553454722"/>
    <n v="560.94200000000001"/>
    <s v="Donald-Romeo"/>
    <s v="DR-AU-D3"/>
    <s v="PALF"/>
    <x v="5"/>
    <s v="Congo"/>
    <m/>
    <m/>
    <m/>
  </r>
  <r>
    <x v="208"/>
    <s v="Taxi moto La Brigade de Recherche- Hôtel Mithé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8"/>
    <s v="Taxi moto Hôtel Mithé-Cyber café/ Faire imprimer la procédure de la Gendarmerie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8"/>
    <s v="Frais d'impression de la procédure de la gendarmerie"/>
    <s v="Office Materials"/>
    <s v="Operation"/>
    <n v="25200"/>
    <n v="44.924430689803934"/>
    <n v="560.94200000000001"/>
    <s v="Donald-Romeo"/>
    <s v="DR-AU-R9"/>
    <s v="PALF"/>
    <x v="5"/>
    <s v="Congo"/>
    <m/>
    <m/>
    <m/>
  </r>
  <r>
    <x v="208"/>
    <s v="Taxi moto Cyber café-Region de gendarmerie/ Faire signer les PV aux prévenus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8"/>
    <s v="Taxi moto TGI- Hôtel Mithé"/>
    <s v="Transport "/>
    <s v="Legal"/>
    <n v="500"/>
    <n v="0.89135775178182408"/>
    <n v="560.94200000000001"/>
    <s v="Donald-Romeo"/>
    <s v="DR-AU-D1"/>
    <s v="PALF"/>
    <x v="5"/>
    <s v="Congo"/>
    <m/>
    <m/>
    <m/>
  </r>
  <r>
    <x v="208"/>
    <s v="Taxi moto, Hôtel Mithé2-Charden Farell"/>
    <s v="Transport"/>
    <s v="Media"/>
    <n v="500"/>
    <n v="0.89135775178182408"/>
    <n v="560.94200000000001"/>
    <s v="Evariste"/>
    <s v="EV-AU-D1"/>
    <s v="PALF"/>
    <x v="5"/>
    <s v="Congo"/>
    <m/>
    <m/>
    <m/>
  </r>
  <r>
    <x v="208"/>
    <s v="Bonus medias(TV Congo) portant sur l'interpetation d'une trafiquante de produit de  faune le 25 Août Août 2025 à Impfondo pieces télé Congo français, kituba, lingala et montages"/>
    <s v="Bonus to media officer"/>
    <s v="Media"/>
    <n v="200000"/>
    <n v="356.54310071272965"/>
    <n v="560.94200000000001"/>
    <s v="Evariste"/>
    <s v="CA-AU-D4"/>
    <s v="PALF"/>
    <x v="5"/>
    <s v="Congo"/>
    <m/>
    <m/>
    <m/>
  </r>
  <r>
    <x v="208"/>
    <s v="Taxi moto, Charden Farell-Hôtel Mithé2"/>
    <s v="Transport"/>
    <s v="Media"/>
    <n v="500"/>
    <n v="0.89135775178182408"/>
    <n v="560.94200000000001"/>
    <s v="Evariste"/>
    <s v="EV-AU-D1"/>
    <s v="PALF"/>
    <x v="5"/>
    <s v="Congo"/>
    <m/>
    <m/>
    <m/>
  </r>
  <r>
    <x v="208"/>
    <s v="Reglement honoraire du mois d'Août 2025/G12/3654427"/>
    <s v="Personnel"/>
    <s v="Investigation"/>
    <n v="222097"/>
    <n v="395.9357651949756"/>
    <n v="560.94200000000001"/>
    <s v="BCI"/>
    <s v="BQ-AU-R17"/>
    <s v="PALF"/>
    <x v="5"/>
    <s v="Congo"/>
    <m/>
    <m/>
    <m/>
  </r>
  <r>
    <x v="208"/>
    <s v="Reglement honoraire du mois d'Août 2025/IT87/3654426"/>
    <s v="Personnel"/>
    <s v="Investigation"/>
    <n v="255000"/>
    <n v="454.59245340873031"/>
    <n v="560.94200000000001"/>
    <s v="BCI"/>
    <s v="BQ-AU-R18"/>
    <s v="PALF"/>
    <x v="5"/>
    <s v="Congo"/>
    <m/>
    <m/>
    <m/>
  </r>
  <r>
    <x v="209"/>
    <s v="RODERLIN-CONGO Frais d'hôtel du 29 au 30/08/2025 à Enyele (01 nuitée)"/>
    <s v="Travel Subsistence"/>
    <s v="Legal"/>
    <n v="15000"/>
    <n v="26.740732553454723"/>
    <n v="560.94200000000001"/>
    <s v="Roderlin"/>
    <s v="RO-AU-R9"/>
    <s v="PALF"/>
    <x v="5"/>
    <s v="Congo"/>
    <m/>
    <m/>
    <m/>
  </r>
  <r>
    <x v="209"/>
    <s v="Taxi:Hôtel Paulina-Agence Océan du nord de Enyele "/>
    <s v="Transport"/>
    <s v="Legal"/>
    <n v="500"/>
    <n v="0.89135775178182408"/>
    <n v="560.94200000000001"/>
    <s v="Roderlin"/>
    <s v="RO-AU-D1"/>
    <s v="PALF"/>
    <x v="5"/>
    <s v="Congo"/>
    <m/>
    <m/>
    <m/>
  </r>
  <r>
    <x v="209"/>
    <s v="Taxi-moto:Agence Océan du nord d'Impfondo-Hôtel Mithe"/>
    <s v="Transport"/>
    <s v="Legal"/>
    <n v="500"/>
    <n v="0.89135775178182408"/>
    <n v="560.94200000000001"/>
    <s v="Roderlin"/>
    <s v="RO-AU-D1"/>
    <s v="PALF"/>
    <x v="5"/>
    <s v="Congo"/>
    <m/>
    <m/>
    <m/>
  </r>
  <r>
    <x v="210"/>
    <s v="Achat billet enyelle-Brazzaville/P29"/>
    <s v="Transport"/>
    <s v="Investigation"/>
    <n v="35000"/>
    <n v="62.395042624727687"/>
    <n v="560.94200000000001"/>
    <s v="P29"/>
    <s v="P29-AU-R12"/>
    <s v="PALF"/>
    <x v="5"/>
    <s v="Congo"/>
    <m/>
    <m/>
    <m/>
  </r>
  <r>
    <x v="210"/>
    <s v="P29 -CONGO Frais d'hotel du 25 au 31/08/2025 à  enyelle (06 Nuitées)"/>
    <s v="Travel Subsistence"/>
    <s v="Investigation"/>
    <n v="90000"/>
    <n v="160.44439532072835"/>
    <n v="560.94200000000001"/>
    <s v="P29"/>
    <s v="P29-AU-R13"/>
    <s v="PALF"/>
    <x v="5"/>
    <s v="Congo"/>
    <m/>
    <m/>
    <m/>
  </r>
  <r>
    <x v="210"/>
    <s v="Taxi agence-hotel,arrivé à gamboma"/>
    <s v="Transport"/>
    <s v="Investigation"/>
    <n v="1000"/>
    <n v="1.7827155035636482"/>
    <n v="560.94200000000001"/>
    <s v="P29"/>
    <s v="P29-AU-D1"/>
    <s v="PALF"/>
    <x v="5"/>
    <s v="Congo"/>
    <m/>
    <m/>
    <m/>
  </r>
  <r>
    <x v="210"/>
    <s v="Achat billet  Enyelle - Brazzaville/T73"/>
    <s v="Transport"/>
    <s v="Investigation"/>
    <n v="35000"/>
    <n v="62.395042624727687"/>
    <n v="560.94200000000001"/>
    <s v="T73"/>
    <s v="T73-AU-R10"/>
    <s v="PALF"/>
    <x v="5"/>
    <s v="Congo"/>
    <m/>
    <m/>
    <m/>
  </r>
  <r>
    <x v="210"/>
    <s v="T73 - CONGO Frais d'hotel du 25 au 31/08/2025 à Enyelle ( 06 nuitée)"/>
    <s v="Travel Subsistence"/>
    <s v="Investigation"/>
    <n v="90000"/>
    <n v="160.44439532072835"/>
    <n v="560.94200000000001"/>
    <s v="T73"/>
    <s v="T73-AU-R11"/>
    <s v="PALF"/>
    <x v="5"/>
    <s v="Congo"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20">
  <r>
    <d v="2025-08-01T00:00:00"/>
    <s v="Maison - Bureau"/>
    <x v="0"/>
    <x v="0"/>
    <n v="1000"/>
    <n v="1.7827155035636482"/>
    <n v="560.94200000000001"/>
    <x v="0"/>
    <s v="DH-AU-D1"/>
    <s v="PALF"/>
    <s v="Wildcat 2025"/>
    <s v="CONGO"/>
    <m/>
    <m/>
    <m/>
  </r>
  <r>
    <d v="2025-08-01T00:00:00"/>
    <s v="Bureau-Maison"/>
    <x v="0"/>
    <x v="0"/>
    <n v="1000"/>
    <n v="1.7827155035636482"/>
    <n v="560.94200000000001"/>
    <x v="0"/>
    <s v="DH-AU-D1"/>
    <s v="PALF"/>
    <s v="Wildcat 2025"/>
    <s v="CONGO"/>
    <m/>
    <m/>
    <m/>
  </r>
  <r>
    <d v="2025-08-01T00:00:00"/>
    <s v="Taxi:  Bureau-Banque BCI/ Retrait relevé de compte bancaire du mois de Juillet 2025"/>
    <x v="0"/>
    <x v="1"/>
    <n v="1000"/>
    <n v="1.7827155035636482"/>
    <n v="560.94200000000001"/>
    <x v="1"/>
    <s v="P-AU-D1"/>
    <s v="PALF"/>
    <s v="Wildcat 2025"/>
    <s v="CONGO"/>
    <m/>
    <m/>
    <m/>
  </r>
  <r>
    <d v="2025-08-01T00:00:00"/>
    <s v="Taxi:  Banque BCI - Bureau/ Retrait relevé de compte bancaire du mois de Juillet 2025"/>
    <x v="0"/>
    <x v="1"/>
    <n v="1000"/>
    <n v="1.7827155035636482"/>
    <n v="560.94200000000001"/>
    <x v="1"/>
    <s v="P-AU-D1"/>
    <s v="PALF"/>
    <s v="Wildcat 2025"/>
    <s v="CONGO"/>
    <m/>
    <m/>
    <m/>
  </r>
  <r>
    <d v="2025-08-01T00:00:00"/>
    <s v="Reglement loyer du mois de Juillet 2025/3654407+C31C21CC3:C27"/>
    <x v="1"/>
    <x v="1"/>
    <n v="500000"/>
    <n v="891.35775178182416"/>
    <n v="560.94200000000001"/>
    <x v="2"/>
    <s v="BQ-AU-R2"/>
    <s v="PALF"/>
    <s v="Wildcat 2025"/>
    <s v="CONGO"/>
    <m/>
    <m/>
    <m/>
  </r>
  <r>
    <d v="2025-08-04T00:00:00"/>
    <s v="Maison-Bureau"/>
    <x v="0"/>
    <x v="0"/>
    <n v="1000"/>
    <n v="1.7827155035636482"/>
    <n v="560.94200000000001"/>
    <x v="0"/>
    <s v="DH-AU-D1"/>
    <s v="PALF"/>
    <s v="Wildcat 2025"/>
    <s v="CONGO"/>
    <m/>
    <m/>
    <m/>
  </r>
  <r>
    <d v="2025-08-04T00:00:00"/>
    <s v="Bureau -Maison"/>
    <x v="0"/>
    <x v="0"/>
    <n v="1000"/>
    <n v="1.7827155035636482"/>
    <n v="560.94200000000001"/>
    <x v="0"/>
    <s v="DH-AU-D1"/>
    <s v="PALF"/>
    <s v="Wildcat 2025"/>
    <s v="CONGO"/>
    <m/>
    <m/>
    <m/>
  </r>
  <r>
    <d v="2025-08-04T00:00:00"/>
    <s v="Reglement honoraire du mois de Juillet 2025/IT87/3654411"/>
    <x v="2"/>
    <x v="2"/>
    <n v="159677"/>
    <n v="284.65866346253267"/>
    <n v="560.94200000000001"/>
    <x v="2"/>
    <s v="BQ-AU-R3"/>
    <s v="PALF"/>
    <s v="Wildcat 2025"/>
    <s v="CONGO"/>
    <m/>
    <m/>
    <m/>
  </r>
  <r>
    <d v="2025-08-05T00:00:00"/>
    <s v="Maison-Bureau"/>
    <x v="0"/>
    <x v="0"/>
    <n v="1000"/>
    <n v="1.7827155035636482"/>
    <n v="560.94200000000001"/>
    <x v="0"/>
    <s v="DH-AU-D1"/>
    <s v="PALF"/>
    <s v="Wildcat 2025"/>
    <s v="CONGO"/>
    <m/>
    <m/>
    <m/>
  </r>
  <r>
    <d v="2025-08-05T00:00:00"/>
    <s v="Bureau-Maison"/>
    <x v="0"/>
    <x v="0"/>
    <n v="1000"/>
    <n v="1.7827155035636482"/>
    <n v="560.94200000000001"/>
    <x v="0"/>
    <s v="DH-AU-D1"/>
    <s v="PALF"/>
    <s v="Wildcat 2025"/>
    <s v="CONGO"/>
    <m/>
    <m/>
    <m/>
  </r>
  <r>
    <d v="2025-08-05T00:00:00"/>
    <s v="Taxi:  Bureau-Banque BCI/ Vérification des fonds dans le compte bancaire PALF"/>
    <x v="0"/>
    <x v="1"/>
    <n v="1000"/>
    <n v="1.7827155035636482"/>
    <n v="560.94200000000001"/>
    <x v="1"/>
    <s v="P-AU-D1"/>
    <s v="PALF"/>
    <s v="Wildcat 2025"/>
    <s v="CONGO"/>
    <m/>
    <m/>
    <m/>
  </r>
  <r>
    <d v="2025-08-05T00:00:00"/>
    <s v="Taxi:  Banque BCI - Bureau/Verification des fonds dans le compte bancaire PALF"/>
    <x v="0"/>
    <x v="1"/>
    <n v="1000"/>
    <n v="1.7827155035636482"/>
    <n v="560.94200000000001"/>
    <x v="1"/>
    <s v="P-AU-D1"/>
    <s v="PALF"/>
    <s v="Wildcat 2025"/>
    <s v="CONGO"/>
    <m/>
    <m/>
    <m/>
  </r>
  <r>
    <d v="2025-08-06T00:00:00"/>
    <s v="Maison-Bureau"/>
    <x v="0"/>
    <x v="0"/>
    <n v="1000"/>
    <n v="1.7827155035636482"/>
    <n v="560.94200000000001"/>
    <x v="0"/>
    <s v="DH-AU-D1"/>
    <s v="PALF"/>
    <s v="Wildcat 2025"/>
    <s v="CONGO"/>
    <m/>
    <m/>
    <m/>
  </r>
  <r>
    <d v="2025-08-06T00:00:00"/>
    <s v="Bureau-Maison"/>
    <x v="0"/>
    <x v="0"/>
    <n v="1000"/>
    <n v="1.7827155035636482"/>
    <n v="560.94200000000001"/>
    <x v="0"/>
    <s v="DH-AU-D1"/>
    <s v="PALF"/>
    <s v="Wildcat 2025"/>
    <s v="CONGO"/>
    <m/>
    <m/>
    <m/>
  </r>
  <r>
    <d v="2025-08-06T00:00:00"/>
    <s v="Taxi:  Bureau-Banque BCI/ Vérification des fonds dans le compte bancaire PALF"/>
    <x v="0"/>
    <x v="1"/>
    <n v="1000"/>
    <n v="1.7827155035636482"/>
    <n v="560.94200000000001"/>
    <x v="1"/>
    <s v="P-AU-D1"/>
    <s v="PALF"/>
    <s v="Wildcat 2025"/>
    <s v="CONGO"/>
    <m/>
    <m/>
    <m/>
  </r>
  <r>
    <d v="2025-08-06T00:00:00"/>
    <s v="Taxi:  Banque BCI - Bureau/Verification des fonds dans le compte bancaire PALF"/>
    <x v="0"/>
    <x v="1"/>
    <n v="1000"/>
    <n v="1.7827155035636482"/>
    <n v="560.94200000000001"/>
    <x v="1"/>
    <s v="P-AU-D1"/>
    <s v="PALF"/>
    <s v="Wildcat 2025"/>
    <s v="CONGO"/>
    <m/>
    <m/>
    <m/>
  </r>
  <r>
    <d v="2025-08-07T00:00:00"/>
    <s v="Maison- Bureau"/>
    <x v="0"/>
    <x v="0"/>
    <n v="1000"/>
    <n v="1.7827155035636482"/>
    <n v="560.94200000000001"/>
    <x v="0"/>
    <s v="DH-AU-D1"/>
    <s v="PALF"/>
    <s v="Wildcat 2025"/>
    <s v="CONGO"/>
    <m/>
    <m/>
    <m/>
  </r>
  <r>
    <d v="2025-08-07T00:00:00"/>
    <s v="Bureau-Maison"/>
    <x v="0"/>
    <x v="0"/>
    <n v="1000"/>
    <n v="1.7827155035636482"/>
    <n v="560.94200000000001"/>
    <x v="0"/>
    <s v="DH-AU-D1"/>
    <s v="PALF"/>
    <s v="Wildcat 2025"/>
    <s v="CONGO"/>
    <m/>
    <m/>
    <m/>
  </r>
  <r>
    <d v="2025-08-07T00:00:00"/>
    <s v="Règlement loyer Juillet 2025/Coordinateur"/>
    <x v="2"/>
    <x v="0"/>
    <n v="174625"/>
    <n v="311.30669480980208"/>
    <n v="560.94200000000001"/>
    <x v="0"/>
    <s v="DH-AU-R1"/>
    <s v="PALF"/>
    <s v="Wildcat 2025"/>
    <s v="CONGO"/>
    <m/>
    <m/>
    <m/>
  </r>
  <r>
    <d v="2025-08-07T00:00:00"/>
    <s v="Taxi:  Bureau- Société de gardiennage/remis de chèque du mois de Juillet 2025"/>
    <x v="0"/>
    <x v="1"/>
    <n v="1000"/>
    <n v="1.7827155035636482"/>
    <n v="560.94200000000001"/>
    <x v="1"/>
    <s v="P-AU-D1"/>
    <s v="PALF"/>
    <s v="Wildcat 2025"/>
    <s v="CONGO"/>
    <m/>
    <m/>
    <m/>
  </r>
  <r>
    <d v="2025-08-07T00:00:00"/>
    <s v="Taxi:  Societé de gardiennage  - Bureau/remis de chèque du mois de Juillet 2025"/>
    <x v="0"/>
    <x v="1"/>
    <n v="1000"/>
    <n v="1.7827155035636482"/>
    <n v="560.94200000000001"/>
    <x v="1"/>
    <s v="P-AU-D1"/>
    <s v="PALF"/>
    <s v="Wildcat 2025"/>
    <s v="CONGO"/>
    <m/>
    <m/>
    <m/>
  </r>
  <r>
    <d v="2025-08-07T00:00:00"/>
    <s v="Taxi:  Bureau- Direction MTN/Achat crédits  departement Investigation"/>
    <x v="0"/>
    <x v="1"/>
    <n v="1000"/>
    <n v="1.7827155035636482"/>
    <n v="560.94200000000001"/>
    <x v="1"/>
    <s v="P-AU-D1"/>
    <s v="PALF"/>
    <s v="Wildcat 2025"/>
    <s v="CONGO"/>
    <m/>
    <m/>
    <m/>
  </r>
  <r>
    <d v="2025-08-07T00:00:00"/>
    <s v="Taxi:   Direction MTN- Domicile/Achat crédits  departement Investigation"/>
    <x v="0"/>
    <x v="1"/>
    <n v="1000"/>
    <n v="1.7827155035636482"/>
    <n v="560.94200000000001"/>
    <x v="1"/>
    <s v="P-AU-D1"/>
    <s v="PALF"/>
    <s v="Wildcat 2025"/>
    <s v="CONGO"/>
    <m/>
    <m/>
    <m/>
  </r>
  <r>
    <d v="2025-08-07T00:00:00"/>
    <s v="Credit telephonique MTN PALF/ du 07 au 10 Août 2025/ Investigation/P29"/>
    <x v="3"/>
    <x v="2"/>
    <n v="5000"/>
    <n v="8.9135775178182417"/>
    <n v="560.94200000000001"/>
    <x v="3"/>
    <s v="P29-AU-R1"/>
    <s v="PALF"/>
    <s v="Wildcat 2025"/>
    <s v="CONGO"/>
    <m/>
    <m/>
    <m/>
  </r>
  <r>
    <d v="2025-08-07T00:00:00"/>
    <s v="Credit telephonique MTN PALF/ du 07 au 10 Août 2025/ Investigation/T73"/>
    <x v="3"/>
    <x v="2"/>
    <n v="5000"/>
    <n v="8.9135775178182417"/>
    <n v="560.94200000000001"/>
    <x v="4"/>
    <s v="T73-AU-R1"/>
    <s v="PALF"/>
    <s v="Wildcat 2025"/>
    <s v="CONGO"/>
    <m/>
    <m/>
    <m/>
  </r>
  <r>
    <d v="2025-08-07T00:00:00"/>
    <s v="Credit telephonique MTN PALF/du 07au 10 Aout 2025/IT87"/>
    <x v="3"/>
    <x v="2"/>
    <n v="5000"/>
    <n v="8.9135775178182417"/>
    <n v="560.94200000000001"/>
    <x v="5"/>
    <s v="IT87-AU-R1"/>
    <s v="PALF"/>
    <s v="Wildcat 2025"/>
    <s v="CONGO"/>
    <m/>
    <m/>
    <m/>
  </r>
  <r>
    <d v="2025-08-07T00:00:00"/>
    <s v="Credit telephonique MTN PALF/du 07au 10 Aout 2025/G12"/>
    <x v="3"/>
    <x v="2"/>
    <n v="5000"/>
    <n v="8.9135775178182417"/>
    <n v="560.94200000000001"/>
    <x v="6"/>
    <s v="G12-AU-R1"/>
    <s v="PALF"/>
    <s v="Wildcat 2025"/>
    <s v="CONGO"/>
    <m/>
    <m/>
    <m/>
  </r>
  <r>
    <d v="2025-08-07T00:00:00"/>
    <s v="Reglement Facture Gardiennage Mois Juillet 2025/3654414"/>
    <x v="4"/>
    <x v="1"/>
    <n v="260000"/>
    <n v="463.50603092654853"/>
    <n v="560.94200000000001"/>
    <x v="2"/>
    <s v="BQ-AU-R4"/>
    <s v="PALF"/>
    <s v="Wildcat 2025"/>
    <s v="CONGO"/>
    <m/>
    <m/>
    <m/>
  </r>
  <r>
    <d v="2025-08-08T00:00:00"/>
    <s v="Maison-Bureau"/>
    <x v="0"/>
    <x v="0"/>
    <n v="1000"/>
    <n v="1.7827155035636482"/>
    <n v="560.94200000000001"/>
    <x v="0"/>
    <s v="DH-AU-D1"/>
    <s v="PALF"/>
    <s v="Wildcat 2025"/>
    <s v="CONGO"/>
    <m/>
    <m/>
    <m/>
  </r>
  <r>
    <d v="2025-08-08T00:00:00"/>
    <s v="Bureau-Maison"/>
    <x v="0"/>
    <x v="0"/>
    <n v="1000"/>
    <n v="1.7827155035636482"/>
    <n v="560.94200000000001"/>
    <x v="0"/>
    <s v="DH-AU-D1"/>
    <s v="PALF"/>
    <s v="Wildcat 2025"/>
    <s v="CONGO"/>
    <m/>
    <m/>
    <m/>
  </r>
  <r>
    <d v="2025-08-08T00:00:00"/>
    <s v="Taxi:  Bureau-Banque BCI/ Vérification des fonds dans le compte bancaire PALF"/>
    <x v="0"/>
    <x v="1"/>
    <n v="1000"/>
    <n v="1.7827155035636482"/>
    <n v="560.94200000000001"/>
    <x v="1"/>
    <s v="P-AU-D1"/>
    <s v="PALF"/>
    <s v="Wildcat 2025"/>
    <s v="CONGO"/>
    <m/>
    <m/>
    <m/>
  </r>
  <r>
    <d v="2025-08-08T00:00:00"/>
    <s v="Taxi:  Banque BCI - Bureau/Verification des fonds dans le compte bancaire PALF"/>
    <x v="0"/>
    <x v="1"/>
    <n v="1500"/>
    <n v="2.6740732553454722"/>
    <n v="560.94200000000001"/>
    <x v="1"/>
    <s v="P-AU-D1"/>
    <s v="PALF"/>
    <s v="Wildcat 2025"/>
    <s v="CONGO"/>
    <m/>
    <m/>
    <m/>
  </r>
  <r>
    <d v="2025-08-11T00:00:00"/>
    <s v="Maison-Bureau"/>
    <x v="0"/>
    <x v="0"/>
    <n v="1000"/>
    <n v="1.7827155035636482"/>
    <n v="560.94200000000001"/>
    <x v="0"/>
    <s v="DH-AU-D1"/>
    <s v="PALF"/>
    <s v="Wildcat 2025"/>
    <s v="CONGO"/>
    <m/>
    <m/>
    <m/>
  </r>
  <r>
    <d v="2025-08-11T00:00:00"/>
    <s v="Bureau-Maison"/>
    <x v="0"/>
    <x v="0"/>
    <n v="1000"/>
    <n v="1.7827155035636482"/>
    <n v="560.94200000000001"/>
    <x v="0"/>
    <s v="DH-AU-D1"/>
    <s v="PALF"/>
    <s v="Wildcat 2025"/>
    <s v="CONGO"/>
    <m/>
    <m/>
    <m/>
  </r>
  <r>
    <d v="2025-08-11T00:00:00"/>
    <s v="Taxi:  Bureau-Banque BCI/ Vérification des fonds dans le compte bancaire PALF"/>
    <x v="0"/>
    <x v="1"/>
    <n v="1500"/>
    <n v="2.6740732553454722"/>
    <n v="560.94200000000001"/>
    <x v="1"/>
    <s v="P-AU-D1"/>
    <s v="PALF"/>
    <s v="Wildcat 2025"/>
    <s v="CONGO"/>
    <m/>
    <m/>
    <m/>
  </r>
  <r>
    <d v="2025-08-11T00:00:00"/>
    <s v="Taxi:  Banque BCI - Bureau/Verification des fonds dans le compte bancaire PALF"/>
    <x v="0"/>
    <x v="1"/>
    <n v="2000"/>
    <n v="3.5654310071272963"/>
    <n v="560.94200000000001"/>
    <x v="1"/>
    <s v="P-AU-D1"/>
    <s v="PALF"/>
    <s v="Wildcat 2025"/>
    <s v="CONGO"/>
    <m/>
    <m/>
    <m/>
  </r>
  <r>
    <d v="2025-08-11T00:00:00"/>
    <s v="Taxi bureau-moungali,prospection"/>
    <x v="0"/>
    <x v="2"/>
    <n v="1000"/>
    <n v="1.7827155035636482"/>
    <n v="560.94200000000001"/>
    <x v="3"/>
    <s v="P29-AU-D1"/>
    <s v="PALF"/>
    <s v="Wildcat 2025"/>
    <s v="CONGO"/>
    <m/>
    <m/>
    <m/>
  </r>
  <r>
    <d v="2025-08-11T00:00:00"/>
    <s v="Taxi moungali-mapassi,prospection"/>
    <x v="0"/>
    <x v="2"/>
    <n v="1000"/>
    <n v="1.7827155035636482"/>
    <n v="560.94200000000001"/>
    <x v="3"/>
    <s v="P29-AU-D1"/>
    <s v="PALF"/>
    <s v="Wildcat 2025"/>
    <s v="CONGO"/>
    <m/>
    <m/>
    <m/>
  </r>
  <r>
    <d v="2025-08-11T00:00:00"/>
    <s v="Taxi mapassi-la fleur,prospection"/>
    <x v="0"/>
    <x v="2"/>
    <n v="1000"/>
    <n v="1.7827155035636482"/>
    <n v="560.94200000000001"/>
    <x v="3"/>
    <s v="P29-AU-D1"/>
    <s v="PALF"/>
    <s v="Wildcat 2025"/>
    <s v="CONGO"/>
    <m/>
    <m/>
    <m/>
  </r>
  <r>
    <d v="2025-08-11T00:00:00"/>
    <s v="Taxi la fleur -domicile"/>
    <x v="0"/>
    <x v="2"/>
    <n v="1500"/>
    <n v="2.6740732553454722"/>
    <n v="560.94200000000001"/>
    <x v="3"/>
    <s v="P29-AU-D1"/>
    <s v="PALF"/>
    <s v="Wildcat 2025"/>
    <s v="CONGO"/>
    <m/>
    <m/>
    <m/>
  </r>
  <r>
    <d v="2025-08-11T00:00:00"/>
    <s v="Achat boisson à un cible"/>
    <x v="5"/>
    <x v="2"/>
    <n v="1000"/>
    <n v="1.7827155035636482"/>
    <n v="560.94200000000001"/>
    <x v="3"/>
    <s v="P29-AU-D2"/>
    <s v="PALF"/>
    <s v="Wildcat 2025"/>
    <s v="CONGO"/>
    <m/>
    <m/>
    <m/>
  </r>
  <r>
    <d v="2025-08-11T00:00:00"/>
    <s v="Taxi : bureau - centre ville (prospection à Brazzaville)"/>
    <x v="0"/>
    <x v="2"/>
    <n v="1000"/>
    <n v="1.7827155035636482"/>
    <n v="560.94200000000001"/>
    <x v="4"/>
    <s v="T73-AU-D1"/>
    <s v="PALF"/>
    <s v="Wildcat 2025"/>
    <s v="CONGO"/>
    <m/>
    <m/>
    <m/>
  </r>
  <r>
    <d v="2025-08-11T00:00:00"/>
    <s v="Taxi : centre ville - moungali (prospection à Brazzaville)"/>
    <x v="0"/>
    <x v="2"/>
    <n v="1000"/>
    <n v="1.7827155035636482"/>
    <n v="560.94200000000001"/>
    <x v="4"/>
    <s v="T73-AU-D1"/>
    <s v="PALF"/>
    <s v="Wildcat 2025"/>
    <s v="CONGO"/>
    <m/>
    <m/>
    <m/>
  </r>
  <r>
    <d v="2025-08-11T00:00:00"/>
    <s v="taxi : moungali - domicile (prospection à Brazzaville)"/>
    <x v="0"/>
    <x v="2"/>
    <n v="1000"/>
    <n v="1.7827155035636482"/>
    <n v="560.94200000000001"/>
    <x v="4"/>
    <s v="T73-AU-D1"/>
    <s v="PALF"/>
    <s v="Wildcat 2025"/>
    <s v="CONGO"/>
    <m/>
    <m/>
    <m/>
  </r>
  <r>
    <d v="2025-08-11T00:00:00"/>
    <s v="Taxi : Bureau - Diata/ Prospection"/>
    <x v="0"/>
    <x v="2"/>
    <n v="1000"/>
    <n v="1.7827155035636482"/>
    <n v="560.94200000000001"/>
    <x v="5"/>
    <s v="IT87-AU-D1"/>
    <s v="PALF"/>
    <s v="Wildcat 2025"/>
    <s v="CONGO"/>
    <m/>
    <m/>
    <m/>
  </r>
  <r>
    <d v="2025-08-11T00:00:00"/>
    <s v="Taxi : Diata - Bifouiti/ Rencontre avec la cible"/>
    <x v="0"/>
    <x v="2"/>
    <n v="2000"/>
    <n v="3.5654310071272963"/>
    <n v="560.94200000000001"/>
    <x v="5"/>
    <s v="IT87-AU-D1"/>
    <s v="PALF"/>
    <s v="Wildcat 2025"/>
    <s v="CONGO"/>
    <m/>
    <m/>
    <m/>
  </r>
  <r>
    <d v="2025-08-11T00:00:00"/>
    <s v="Taxi : Bifouiti - Domicile/ Retour de prospection"/>
    <x v="0"/>
    <x v="2"/>
    <n v="2500"/>
    <n v="4.4567887589091209"/>
    <n v="560.94200000000001"/>
    <x v="5"/>
    <s v="IT87-AU-D1"/>
    <s v="PALF"/>
    <s v="Wildcat 2025"/>
    <s v="CONGO"/>
    <m/>
    <m/>
    <m/>
  </r>
  <r>
    <d v="2025-08-11T00:00:00"/>
    <s v="Taxi: Bureau- mikalou /prospection"/>
    <x v="0"/>
    <x v="2"/>
    <n v="1000"/>
    <n v="1.7827155035636482"/>
    <n v="560.94200000000001"/>
    <x v="6"/>
    <s v="G12-AU-D1"/>
    <s v="PALF"/>
    <s v="Wildcat 2025"/>
    <s v="CONGO"/>
    <m/>
    <m/>
    <m/>
  </r>
  <r>
    <d v="2025-08-11T00:00:00"/>
    <s v="Taxi :Mikalou - domicile"/>
    <x v="0"/>
    <x v="2"/>
    <n v="1000"/>
    <n v="1.7827155035636482"/>
    <n v="560.94200000000001"/>
    <x v="6"/>
    <s v="G12-AU-D1"/>
    <s v="PALF"/>
    <s v="Wildcat 2025"/>
    <s v="CONGO"/>
    <m/>
    <m/>
    <m/>
  </r>
  <r>
    <d v="2025-08-12T00:00:00"/>
    <s v="Maison-Bureau"/>
    <x v="0"/>
    <x v="0"/>
    <n v="1000"/>
    <n v="1.7827155035636482"/>
    <n v="560.94200000000001"/>
    <x v="0"/>
    <s v="DH-AU-D1"/>
    <s v="PALF"/>
    <s v="Wildcat 2025"/>
    <s v="CONGO"/>
    <m/>
    <m/>
    <m/>
  </r>
  <r>
    <d v="2025-08-12T00:00:00"/>
    <s v="Bureau-Maison"/>
    <x v="0"/>
    <x v="0"/>
    <n v="1000"/>
    <n v="1.7827155035636482"/>
    <n v="560.94200000000001"/>
    <x v="0"/>
    <s v="DH-AU-D1"/>
    <s v="PALF"/>
    <s v="Wildcat 2025"/>
    <s v="CONGO"/>
    <m/>
    <m/>
    <m/>
  </r>
  <r>
    <d v="2025-08-12T00:00:00"/>
    <s v="Taxi : bureau - zone campus (prospection à Brazzaville)"/>
    <x v="0"/>
    <x v="2"/>
    <n v="1000"/>
    <n v="1.7827155035636482"/>
    <n v="560.94200000000001"/>
    <x v="4"/>
    <s v="T73-AU-D1"/>
    <s v="PALF"/>
    <s v="Wildcat 2025"/>
    <s v="CONGO"/>
    <m/>
    <m/>
    <m/>
  </r>
  <r>
    <d v="2025-08-12T00:00:00"/>
    <s v="Taxi : zone campus - quartier Mfoa (prospection à Brazzaville)"/>
    <x v="0"/>
    <x v="2"/>
    <n v="1000"/>
    <n v="1.7827155035636482"/>
    <n v="560.94200000000001"/>
    <x v="4"/>
    <s v="T73-AU-D1"/>
    <s v="PALF"/>
    <s v="Wildcat 2025"/>
    <s v="CONGO"/>
    <m/>
    <m/>
    <m/>
  </r>
  <r>
    <d v="2025-08-12T00:00:00"/>
    <s v="Taxi : quartier Mfoa - poto poto (prospection à Brazzaville)"/>
    <x v="0"/>
    <x v="2"/>
    <n v="1000"/>
    <n v="1.7827155035636482"/>
    <n v="560.94200000000001"/>
    <x v="4"/>
    <s v="T73-AU-D1"/>
    <s v="PALF"/>
    <s v="Wildcat 2025"/>
    <s v="CONGO"/>
    <m/>
    <m/>
    <m/>
  </r>
  <r>
    <d v="2025-08-12T00:00:00"/>
    <s v="Taxi : poto poto - domicile (prospection à Brazzaville)"/>
    <x v="0"/>
    <x v="2"/>
    <n v="1000"/>
    <n v="1.7827155035636482"/>
    <n v="560.94200000000001"/>
    <x v="4"/>
    <s v="T73-AU-D1"/>
    <s v="PALF"/>
    <s v="Wildcat 2025"/>
    <s v="CONGO"/>
    <m/>
    <m/>
    <m/>
  </r>
  <r>
    <d v="2025-08-12T00:00:00"/>
    <s v="achat boisson ( une cible)"/>
    <x v="5"/>
    <x v="2"/>
    <n v="2000"/>
    <n v="3.5654310071272963"/>
    <n v="560.94200000000001"/>
    <x v="4"/>
    <s v="T73-AU-D2"/>
    <s v="PALF"/>
    <s v="Wildcat 2025"/>
    <s v="CONGO"/>
    <m/>
    <m/>
    <m/>
  </r>
  <r>
    <d v="2025-08-12T00:00:00"/>
    <s v="Taxi : Bureau - Marché Diata/ Prospection"/>
    <x v="0"/>
    <x v="2"/>
    <n v="1000"/>
    <n v="1.7827155035636482"/>
    <n v="560.94200000000001"/>
    <x v="5"/>
    <s v="IT87-AU-D1"/>
    <s v="PALF"/>
    <s v="Wildcat 2025"/>
    <s v="CONGO"/>
    <m/>
    <m/>
    <m/>
  </r>
  <r>
    <d v="2025-08-12T00:00:00"/>
    <s v="Taxi : Marché Diata - Av de la paix/ prospection"/>
    <x v="0"/>
    <x v="2"/>
    <n v="1500"/>
    <n v="2.6740732553454722"/>
    <n v="560.94200000000001"/>
    <x v="5"/>
    <s v="IT87-AU-D1"/>
    <s v="PALF"/>
    <s v="Wildcat 2025"/>
    <s v="CONGO"/>
    <m/>
    <m/>
    <m/>
  </r>
  <r>
    <d v="2025-08-12T00:00:00"/>
    <s v="Taxi : Av de la paix - Domicile/ Retour de prospection"/>
    <x v="0"/>
    <x v="2"/>
    <n v="2500"/>
    <n v="4.4567887589091209"/>
    <n v="560.94200000000001"/>
    <x v="5"/>
    <s v="IT87-AU-D1"/>
    <s v="PALF"/>
    <s v="Wildcat 2025"/>
    <s v="CONGO"/>
    <m/>
    <m/>
    <m/>
  </r>
  <r>
    <d v="2025-08-12T00:00:00"/>
    <s v="Taxi : Bureau - marché bifouiti , prospection"/>
    <x v="0"/>
    <x v="2"/>
    <n v="1000"/>
    <n v="1.7827155035636482"/>
    <n v="560.94200000000001"/>
    <x v="6"/>
    <s v="G12-AU-D1"/>
    <s v="PALF"/>
    <s v="Wildcat 2025"/>
    <s v="CONGO"/>
    <m/>
    <m/>
    <m/>
  </r>
  <r>
    <d v="2025-08-12T00:00:00"/>
    <s v="Taxi: marché bifouiti- marché bouro /prospection"/>
    <x v="0"/>
    <x v="2"/>
    <n v="1000"/>
    <n v="1.7827155035636482"/>
    <n v="560.94200000000001"/>
    <x v="6"/>
    <s v="G12-AU-D1"/>
    <s v="PALF"/>
    <s v="Wildcat 2025"/>
    <s v="CONGO"/>
    <m/>
    <m/>
    <m/>
  </r>
  <r>
    <d v="2025-08-12T00:00:00"/>
    <s v="Taxi: marché bouro - quartier comission /prospection"/>
    <x v="0"/>
    <x v="2"/>
    <n v="1000"/>
    <n v="1.7827155035636482"/>
    <n v="560.94200000000001"/>
    <x v="6"/>
    <s v="G12-AU-D1"/>
    <s v="PALF"/>
    <s v="Wildcat 2025"/>
    <s v="CONGO"/>
    <m/>
    <m/>
    <m/>
  </r>
  <r>
    <d v="2025-08-12T00:00:00"/>
    <s v="Taxi: Quartier comission- domicile"/>
    <x v="0"/>
    <x v="2"/>
    <n v="1000"/>
    <n v="1.7827155035636482"/>
    <n v="560.94200000000001"/>
    <x v="6"/>
    <s v="G12-AU-D1"/>
    <s v="PALF"/>
    <s v="Wildcat 2025"/>
    <s v="CONGO"/>
    <m/>
    <m/>
    <m/>
  </r>
  <r>
    <d v="2025-08-13T00:00:00"/>
    <s v="Maison-Bureau"/>
    <x v="0"/>
    <x v="0"/>
    <n v="1000"/>
    <n v="1.7827155035636482"/>
    <n v="560.94200000000001"/>
    <x v="0"/>
    <s v="DH-AU-D1"/>
    <s v="PALF"/>
    <s v="Wildcat 2025"/>
    <s v="CONGO"/>
    <m/>
    <m/>
    <m/>
  </r>
  <r>
    <d v="2025-08-13T00:00:00"/>
    <s v="Bureau-Maison"/>
    <x v="0"/>
    <x v="0"/>
    <n v="1000"/>
    <n v="1.7827155035636482"/>
    <n v="560.94200000000001"/>
    <x v="0"/>
    <s v="DH-AU-D1"/>
    <s v="PALF"/>
    <s v="Wildcat 2025"/>
    <s v="CONGO"/>
    <m/>
    <m/>
    <m/>
  </r>
  <r>
    <d v="2025-08-13T00:00:00"/>
    <s v="Taxi:  Bureau-Banque BCI/ Appro caisse PALF"/>
    <x v="0"/>
    <x v="1"/>
    <n v="1500"/>
    <m/>
    <n v="560.94200000000001"/>
    <x v="1"/>
    <s v="P-AU-D1"/>
    <s v="PALF"/>
    <s v="Wildcat 2025"/>
    <s v="CONGO"/>
    <m/>
    <m/>
    <m/>
  </r>
  <r>
    <d v="2025-08-13T00:00:00"/>
    <s v="Taxi:  Banque BCI - Bureau/Appro caisse  PALF"/>
    <x v="0"/>
    <x v="1"/>
    <n v="1500"/>
    <n v="2.6740732553454722"/>
    <n v="560.94200000000001"/>
    <x v="1"/>
    <s v="P-AU-D1"/>
    <s v="PALF"/>
    <s v="Wildcat 2025"/>
    <s v="CONGO"/>
    <m/>
    <m/>
    <m/>
  </r>
  <r>
    <d v="2025-08-13T00:00:00"/>
    <s v="Taxi domicile-bouro,prospection"/>
    <x v="0"/>
    <x v="2"/>
    <n v="1000"/>
    <n v="1.7827155035636482"/>
    <n v="560.94200000000001"/>
    <x v="3"/>
    <s v="P29-AU-D1"/>
    <s v="PALF"/>
    <s v="Wildcat 2025"/>
    <s v="CONGO"/>
    <m/>
    <m/>
    <m/>
  </r>
  <r>
    <d v="2025-08-13T00:00:00"/>
    <s v="Taxi bouro-sai sai,prospection"/>
    <x v="0"/>
    <x v="2"/>
    <n v="1000"/>
    <n v="1.7827155035636482"/>
    <n v="560.94200000000001"/>
    <x v="3"/>
    <s v="P29-AU-D1"/>
    <s v="PALF"/>
    <s v="Wildcat 2025"/>
    <s v="CONGO"/>
    <m/>
    <m/>
    <m/>
  </r>
  <r>
    <d v="2025-08-13T00:00:00"/>
    <s v="Taxi sai sai -bureau"/>
    <x v="0"/>
    <x v="2"/>
    <n v="1500"/>
    <n v="2.6740732553454722"/>
    <n v="560.94200000000001"/>
    <x v="3"/>
    <s v="P29-AU-D1"/>
    <s v="PALF"/>
    <s v="Wildcat 2025"/>
    <s v="CONGO"/>
    <m/>
    <m/>
    <m/>
  </r>
  <r>
    <d v="2025-08-13T00:00:00"/>
    <s v="Achat boisson à un cible"/>
    <x v="5"/>
    <x v="2"/>
    <n v="1000"/>
    <n v="1.7827155035636482"/>
    <n v="560.94200000000001"/>
    <x v="3"/>
    <s v="P29-AU-D2"/>
    <s v="PALF"/>
    <s v="Wildcat 2025"/>
    <s v="CONGO"/>
    <m/>
    <m/>
    <m/>
  </r>
  <r>
    <d v="2025-08-13T00:00:00"/>
    <s v="Taxi : domicile - texaco ( prospection à brazzaville)"/>
    <x v="0"/>
    <x v="2"/>
    <n v="1500"/>
    <n v="2.6740732553454722"/>
    <n v="560.94200000000001"/>
    <x v="4"/>
    <s v="T73-AU-D1"/>
    <s v="PALF"/>
    <s v="Wildcat 2025"/>
    <s v="CONGO"/>
    <m/>
    <m/>
    <m/>
  </r>
  <r>
    <d v="2025-08-13T00:00:00"/>
    <s v="Taxi : texaco - zone de la frontière ( prospection à brazzaville)"/>
    <x v="0"/>
    <x v="2"/>
    <n v="1000"/>
    <n v="1.7827155035636482"/>
    <n v="560.94200000000001"/>
    <x v="4"/>
    <s v="T73-AU-D1"/>
    <s v="PALF"/>
    <s v="Wildcat 2025"/>
    <s v="CONGO"/>
    <m/>
    <m/>
    <m/>
  </r>
  <r>
    <d v="2025-08-13T00:00:00"/>
    <s v="Taxi : zone de la frontière - bureau ( recuperer fond pour achat billet)"/>
    <x v="0"/>
    <x v="2"/>
    <n v="1000"/>
    <n v="1.7827155035636482"/>
    <n v="560.94200000000001"/>
    <x v="4"/>
    <s v="T73-AU-D1"/>
    <s v="PALF"/>
    <s v="Wildcat 2025"/>
    <s v="CONGO"/>
    <m/>
    <m/>
    <m/>
  </r>
  <r>
    <d v="2025-08-13T00:00:00"/>
    <s v="Taxi : bureau - agence océan talangai ( achat billet)"/>
    <x v="0"/>
    <x v="2"/>
    <n v="2000"/>
    <n v="3.5654310071272963"/>
    <n v="560.94200000000001"/>
    <x v="4"/>
    <s v="T73-AU-D1"/>
    <s v="PALF"/>
    <s v="Wildcat 2025"/>
    <s v="CONGO"/>
    <m/>
    <m/>
    <m/>
  </r>
  <r>
    <d v="2025-08-13T00:00:00"/>
    <s v="Taxi : agence océan talangai - bureau ( recuperer fond pour achat billet)"/>
    <x v="0"/>
    <x v="2"/>
    <n v="2000"/>
    <n v="3.5654310071272963"/>
    <n v="560.94200000000001"/>
    <x v="4"/>
    <s v="T73-AU-D1"/>
    <s v="PALF"/>
    <s v="Wildcat 2025"/>
    <s v="CONGO"/>
    <m/>
    <m/>
    <m/>
  </r>
  <r>
    <d v="2025-08-13T00:00:00"/>
    <s v="Taxi : Domicile - Mfilou/ Prospection"/>
    <x v="0"/>
    <x v="2"/>
    <n v="2000"/>
    <n v="3.5654310071272963"/>
    <n v="560.94200000000001"/>
    <x v="5"/>
    <s v="IT87-AU-D1"/>
    <s v="PALF"/>
    <s v="Wildcat 2025"/>
    <s v="CONGO"/>
    <m/>
    <m/>
    <m/>
  </r>
  <r>
    <d v="2025-08-13T00:00:00"/>
    <s v="Taxi : Gotié - Mairie/ Prospection"/>
    <x v="0"/>
    <x v="2"/>
    <n v="1000"/>
    <n v="1.7827155035636482"/>
    <n v="560.94200000000001"/>
    <x v="5"/>
    <s v="IT87-AU-D1"/>
    <s v="PALF"/>
    <s v="Wildcat 2025"/>
    <s v="CONGO"/>
    <m/>
    <m/>
    <m/>
  </r>
  <r>
    <d v="2025-08-13T00:00:00"/>
    <s v="Taxi : Mairie - Frontière/ Prospection"/>
    <x v="0"/>
    <x v="2"/>
    <n v="1000"/>
    <n v="1.7827155035636482"/>
    <n v="560.94200000000001"/>
    <x v="5"/>
    <s v="IT87-AU-D1"/>
    <s v="PALF"/>
    <s v="Wildcat 2025"/>
    <s v="CONGO"/>
    <m/>
    <m/>
    <m/>
  </r>
  <r>
    <d v="2025-08-13T00:00:00"/>
    <s v="Taxi : Frontière - Domicile/ Retour de prospection"/>
    <x v="0"/>
    <x v="2"/>
    <n v="2000"/>
    <n v="3.5654310071272963"/>
    <n v="560.94200000000001"/>
    <x v="5"/>
    <s v="IT87-AU-D1"/>
    <s v="PALF"/>
    <s v="Wildcat 2025"/>
    <s v="CONGO"/>
    <m/>
    <m/>
    <m/>
  </r>
  <r>
    <d v="2025-08-13T00:00:00"/>
    <s v="Taxi : Domicile - nganga lingolo, prospection à brazzaville"/>
    <x v="0"/>
    <x v="2"/>
    <n v="1500"/>
    <n v="2.6740732553454722"/>
    <n v="560.94200000000001"/>
    <x v="6"/>
    <s v="G12-AU-D1"/>
    <s v="PALF"/>
    <s v="Wildcat 2025"/>
    <s v="CONGO"/>
    <m/>
    <m/>
    <m/>
  </r>
  <r>
    <d v="2025-08-13T00:00:00"/>
    <s v="Taxi : Nganga lingolo- total / prospection"/>
    <x v="0"/>
    <x v="2"/>
    <n v="1500"/>
    <n v="2.6740732553454722"/>
    <n v="560.94200000000001"/>
    <x v="6"/>
    <s v="G12-AU-D1"/>
    <s v="PALF"/>
    <s v="Wildcat 2025"/>
    <s v="CONGO"/>
    <m/>
    <m/>
    <m/>
  </r>
  <r>
    <d v="2025-08-13T00:00:00"/>
    <s v="Taxi: Total- domicile"/>
    <x v="0"/>
    <x v="2"/>
    <n v="1000"/>
    <n v="1.7827155035636482"/>
    <n v="560.94200000000001"/>
    <x v="6"/>
    <s v="G12-AU-D1"/>
    <s v="PALF"/>
    <s v="Wildcat 2025"/>
    <s v="CONGO"/>
    <m/>
    <m/>
    <m/>
  </r>
  <r>
    <d v="2025-08-13T00:00:00"/>
    <s v="Taxi, Domicile-Bureau PALF"/>
    <x v="0"/>
    <x v="3"/>
    <n v="1000"/>
    <n v="1.7827155035636482"/>
    <n v="560.94200000000001"/>
    <x v="7"/>
    <s v="EV-AU-D1"/>
    <s v="PALF"/>
    <s v="Wildcat 2025"/>
    <s v="CONGO"/>
    <m/>
    <m/>
    <m/>
  </r>
  <r>
    <d v="2025-08-13T00:00:00"/>
    <s v="Taxi, Bureau PALF-Domicile"/>
    <x v="0"/>
    <x v="3"/>
    <n v="1000"/>
    <n v="1.7827155035636482"/>
    <n v="560.94200000000001"/>
    <x v="7"/>
    <s v="EV-AU-D1"/>
    <s v="PALF"/>
    <s v="Wildcat 2025"/>
    <s v="CONGO"/>
    <m/>
    <m/>
    <m/>
  </r>
  <r>
    <d v="2025-08-13T00:00:00"/>
    <s v="RAPATRIEME01100 RAO00010886/Fondation de la Famille Dahan(DFF)"/>
    <x v="6"/>
    <x v="4"/>
    <m/>
    <n v="0"/>
    <n v="532.90200000000004"/>
    <x v="2"/>
    <s v="BQ-AU-G1"/>
    <s v="PALF"/>
    <s v="Dahan"/>
    <s v="CONGO"/>
    <n v="2664510"/>
    <n v="5000"/>
    <m/>
  </r>
  <r>
    <d v="2025-08-13T00:00:00"/>
    <s v="RAPATRIEME01100 RAO00010886/Fondation Wildcat"/>
    <x v="6"/>
    <x v="4"/>
    <m/>
    <n v="0"/>
    <n v="532.90192592592598"/>
    <x v="2"/>
    <s v="BQ-AU-G2"/>
    <s v="PALF"/>
    <s v="Wildcat 2025"/>
    <s v="CONGO"/>
    <n v="14388352"/>
    <n v="27000"/>
    <m/>
  </r>
  <r>
    <d v="2025-08-14T00:00:00"/>
    <s v="Bureau-Maison"/>
    <x v="0"/>
    <x v="0"/>
    <n v="1000"/>
    <n v="1.7827155035636482"/>
    <n v="560.94200000000001"/>
    <x v="0"/>
    <s v="DH-AU-D1"/>
    <s v="PALF"/>
    <s v="Wildcat 2025"/>
    <s v="CONGO"/>
    <m/>
    <m/>
    <m/>
  </r>
  <r>
    <d v="2025-08-14T00:00:00"/>
    <s v="Billet: Brazzaville-Impfondo"/>
    <x v="0"/>
    <x v="5"/>
    <n v="37000"/>
    <n v="65.960473631854981"/>
    <n v="560.94200000000001"/>
    <x v="8"/>
    <s v="CR-AU-R1"/>
    <s v="PALF"/>
    <s v="Wildcat 2025"/>
    <s v="CONGO"/>
    <m/>
    <m/>
    <m/>
  </r>
  <r>
    <d v="2025-08-14T00:00:00"/>
    <s v="Taxi: Mfilou Camp Militaire-Agence Océan du Nord Talangai"/>
    <x v="0"/>
    <x v="5"/>
    <n v="2000"/>
    <n v="3.5654310071272963"/>
    <n v="560.94200000000001"/>
    <x v="8"/>
    <s v="CR-AU-D1"/>
    <s v="PALF"/>
    <s v="Wildcat 2025"/>
    <s v="CONGO"/>
    <m/>
    <m/>
    <m/>
  </r>
  <r>
    <d v="2025-08-14T00:00:00"/>
    <s v="Taxi moto: Agence Océan du Nord Oyo-Hôtel Saint Bénoit"/>
    <x v="0"/>
    <x v="5"/>
    <n v="500"/>
    <n v="0.89135775178182408"/>
    <n v="560.94200000000001"/>
    <x v="8"/>
    <s v="CR-AU-D1"/>
    <s v="PALF"/>
    <s v="Wildcat 2025"/>
    <s v="CONGO"/>
    <m/>
    <m/>
    <m/>
  </r>
  <r>
    <d v="2025-08-14T00:00:00"/>
    <s v="CREPIN-CONGO Ration du 14/08 au 02/09/2025 à  Impfondo"/>
    <x v="7"/>
    <x v="5"/>
    <n v="190000"/>
    <n v="338.71594567709315"/>
    <n v="560.94200000000001"/>
    <x v="8"/>
    <s v="CR-AU-D2"/>
    <s v="PALF"/>
    <s v="Wildcat 2025"/>
    <s v="CONGO"/>
    <m/>
    <m/>
    <m/>
  </r>
  <r>
    <d v="2025-08-14T00:00:00"/>
    <s v="Taxi:  Bureau-Banque BCI/ Appro caisse PALF"/>
    <x v="0"/>
    <x v="1"/>
    <n v="1000"/>
    <n v="1.7827155035636482"/>
    <n v="560.94200000000001"/>
    <x v="1"/>
    <s v="P-AU-D1"/>
    <s v="PALF"/>
    <s v="Wildcat 2025"/>
    <s v="CONGO"/>
    <m/>
    <m/>
    <m/>
  </r>
  <r>
    <d v="2025-08-14T00:00:00"/>
    <s v="Taxi:  Banque BCI - Bureau/Appro caisse  PALF"/>
    <x v="0"/>
    <x v="1"/>
    <n v="1000"/>
    <n v="1.7827155035636482"/>
    <n v="560.94200000000001"/>
    <x v="1"/>
    <s v="P-AU-D1"/>
    <s v="PALF"/>
    <s v="Wildcat 2025"/>
    <s v="CONGO"/>
    <m/>
    <m/>
    <m/>
  </r>
  <r>
    <d v="2025-08-14T00:00:00"/>
    <s v="Taxi: Bureau -Marché Moungali/ Achat des Ampoules bureau PALF"/>
    <x v="0"/>
    <x v="1"/>
    <n v="1000"/>
    <n v="1.7827155035636482"/>
    <n v="560.94200000000001"/>
    <x v="1"/>
    <s v="P-AU-D1"/>
    <s v="PALF"/>
    <s v="Wildcat 2025"/>
    <s v="CONGO"/>
    <m/>
    <m/>
    <m/>
  </r>
  <r>
    <d v="2025-08-14T00:00:00"/>
    <s v="Taxi: Marché Moungali - Bureau/ Achat de Ampoules bureau PALF"/>
    <x v="0"/>
    <x v="1"/>
    <n v="1000"/>
    <n v="1.7827155035636482"/>
    <n v="560.94200000000001"/>
    <x v="1"/>
    <s v="P-AU-D1"/>
    <s v="PALF"/>
    <s v="Wildcat 2025"/>
    <s v="CONGO"/>
    <m/>
    <m/>
    <m/>
  </r>
  <r>
    <d v="2025-08-14T00:00:00"/>
    <s v="Achat de 10 ampoule à crochet"/>
    <x v="8"/>
    <x v="1"/>
    <n v="25000"/>
    <n v="44.567887589091207"/>
    <n v="560.94200000000001"/>
    <x v="1"/>
    <s v="CA-AU-R1"/>
    <s v="PALF"/>
    <s v="Wildcat 2025"/>
    <s v="CONGO"/>
    <m/>
    <m/>
    <m/>
  </r>
  <r>
    <d v="2025-08-14T00:00:00"/>
    <s v="Achat billet Brazzaville-Impfondo/ P29"/>
    <x v="0"/>
    <x v="2"/>
    <n v="37000"/>
    <n v="65.960473631854981"/>
    <n v="560.94200000000001"/>
    <x v="3"/>
    <s v="P29-AU-R2"/>
    <s v="PALF"/>
    <s v="Wildcat 2025"/>
    <s v="CONGO"/>
    <m/>
    <m/>
    <m/>
  </r>
  <r>
    <d v="2025-08-14T00:00:00"/>
    <s v="Taxi domicile-agence,départ mission"/>
    <x v="0"/>
    <x v="2"/>
    <n v="2500"/>
    <n v="4.4567887589091209"/>
    <n v="560.94200000000001"/>
    <x v="3"/>
    <s v="P29-AU-D1"/>
    <s v="PALF"/>
    <s v="Wildcat 2025"/>
    <s v="CONGO"/>
    <m/>
    <m/>
    <m/>
  </r>
  <r>
    <d v="2025-08-14T00:00:00"/>
    <s v="P29 - CONGO Ration  du 14/08 au 01 /09/2025 à Impfondo (18 Nuitées)"/>
    <x v="7"/>
    <x v="2"/>
    <n v="180000"/>
    <n v="320.88879064145669"/>
    <n v="560.94200000000001"/>
    <x v="3"/>
    <s v="P29-AU-D3"/>
    <s v="PALF"/>
    <s v="Wildcat 2025"/>
    <s v="CONGO"/>
    <m/>
    <m/>
    <m/>
  </r>
  <r>
    <d v="2025-08-14T00:00:00"/>
    <s v="Taxi agence-hotel,arrivé à oyo"/>
    <x v="0"/>
    <x v="2"/>
    <n v="1000"/>
    <n v="1.7827155035636482"/>
    <n v="560.94200000000001"/>
    <x v="3"/>
    <s v="P29-AU-D1"/>
    <s v="PALF"/>
    <s v="Wildcat 2025"/>
    <s v="CONGO"/>
    <m/>
    <m/>
    <m/>
  </r>
  <r>
    <d v="2025-08-14T00:00:00"/>
    <s v="Achat billet  Brazzaville - Impfondo/T73"/>
    <x v="0"/>
    <x v="2"/>
    <n v="37000"/>
    <n v="65.960473631854981"/>
    <n v="560.94200000000001"/>
    <x v="4"/>
    <s v="T73-AU-R2"/>
    <s v="PALF"/>
    <s v="Wildcat 2025"/>
    <s v="CONGO"/>
    <m/>
    <m/>
    <m/>
  </r>
  <r>
    <d v="2025-08-14T00:00:00"/>
    <s v="T73-CONGO Ration du 14 au 01/09/2025 à Impfondo (18 nuitées)"/>
    <x v="7"/>
    <x v="2"/>
    <n v="180000"/>
    <n v="320.88879064145669"/>
    <n v="560.94200000000001"/>
    <x v="4"/>
    <s v="T73-AU-D3"/>
    <s v="PALF"/>
    <s v="Wildcat 2025"/>
    <s v="CONGO"/>
    <m/>
    <m/>
    <m/>
  </r>
  <r>
    <d v="2025-08-14T00:00:00"/>
    <s v="Taxi : domicille - agence océan talangai"/>
    <x v="0"/>
    <x v="2"/>
    <n v="2000"/>
    <n v="3.5654310071272963"/>
    <n v="560.94200000000001"/>
    <x v="4"/>
    <s v="T73-AU-D1"/>
    <s v="PALF"/>
    <s v="Wildcat 2025"/>
    <s v="CONGO"/>
    <m/>
    <m/>
    <m/>
  </r>
  <r>
    <d v="2025-08-14T00:00:00"/>
    <s v="Taxi : Agence céan- hotel"/>
    <x v="0"/>
    <x v="2"/>
    <n v="500"/>
    <n v="0.89135775178182408"/>
    <n v="560.94200000000001"/>
    <x v="4"/>
    <s v="T73-AU-D1"/>
    <s v="PALF"/>
    <s v="Wildcat 2025"/>
    <s v="CONGO"/>
    <m/>
    <m/>
    <m/>
  </r>
  <r>
    <d v="2025-08-14T00:00:00"/>
    <s v="Achat billet Brazzaville-Imfondo/ Donald-Roméo"/>
    <x v="9"/>
    <x v="5"/>
    <n v="37000"/>
    <n v="65.960473631854981"/>
    <n v="560.94200000000001"/>
    <x v="9"/>
    <s v="DR-AU-R1"/>
    <s v="PALF"/>
    <s v="Wildcat 2025"/>
    <s v="CONGO"/>
    <m/>
    <m/>
    <m/>
  </r>
  <r>
    <d v="2025-08-14T00:00:00"/>
    <s v="Taxi Domicile-Agence Océan du Nord de Talangaï"/>
    <x v="9"/>
    <x v="5"/>
    <n v="2500"/>
    <n v="4.4567887589091209"/>
    <n v="560.94200000000001"/>
    <x v="9"/>
    <s v="DR-AU-D1"/>
    <s v="PALF"/>
    <s v="Wildcat 2025"/>
    <s v="CONGO"/>
    <m/>
    <m/>
    <m/>
  </r>
  <r>
    <d v="2025-08-14T00:00:00"/>
    <s v="Taxi agence Océan du Nord d'Oyo-Hôtel Saint Benoit"/>
    <x v="9"/>
    <x v="5"/>
    <n v="500"/>
    <n v="0.89135775178182408"/>
    <n v="560.94200000000001"/>
    <x v="9"/>
    <s v="DR-AU-D1"/>
    <s v="PALF"/>
    <s v="Wildcat 2025"/>
    <s v="CONGO"/>
    <m/>
    <m/>
    <m/>
  </r>
  <r>
    <d v="2025-08-14T00:00:00"/>
    <s v="Ration  du  14/08 au 02/09/2025 à Oyo, Impfondo et  Enyellé/ Donald-Roméo"/>
    <x v="7"/>
    <x v="5"/>
    <n v="190000"/>
    <n v="338.71594567709315"/>
    <n v="560.94200000000001"/>
    <x v="9"/>
    <s v="DR-AU-D2"/>
    <s v="PALF"/>
    <s v="Wildcat 2025"/>
    <s v="CONGO"/>
    <m/>
    <m/>
    <m/>
  </r>
  <r>
    <d v="2025-08-14T00:00:00"/>
    <s v="Achat Billet Brazzaville-Impfondo/Evariste"/>
    <x v="0"/>
    <x v="3"/>
    <n v="37000"/>
    <n v="65.960473631854981"/>
    <n v="560.94200000000001"/>
    <x v="7"/>
    <s v="EV-AU-R1"/>
    <s v="PALF"/>
    <s v="Wildcat 2025"/>
    <s v="CONGO"/>
    <m/>
    <m/>
    <m/>
  </r>
  <r>
    <d v="2025-08-14T00:00:00"/>
    <s v="Taxi, Domicile-Agence Océan du Nord de Talangai"/>
    <x v="0"/>
    <x v="3"/>
    <n v="1000"/>
    <n v="1.7827155035636482"/>
    <n v="560.94200000000001"/>
    <x v="7"/>
    <s v="EV-AU-D1"/>
    <s v="PALF"/>
    <s v="Wildcat 2025"/>
    <s v="CONGO"/>
    <m/>
    <m/>
    <m/>
  </r>
  <r>
    <d v="2025-08-14T00:00:00"/>
    <s v="Taxi moto, Agence Océan du Nord d'Oyo-Hôtel Saint Benoit"/>
    <x v="0"/>
    <x v="3"/>
    <n v="500"/>
    <n v="0.89135775178182408"/>
    <n v="560.94200000000001"/>
    <x v="7"/>
    <s v="EV-AU-D1"/>
    <s v="PALF"/>
    <s v="Wildcat 2025"/>
    <s v="CONGO"/>
    <m/>
    <m/>
    <m/>
  </r>
  <r>
    <d v="2025-08-14T00:00:00"/>
    <s v="Evariste-CONGO Ration du 14 août au 03 septembre 2025 à Impfondo ( 20 nuitées )"/>
    <x v="7"/>
    <x v="3"/>
    <n v="200000"/>
    <n v="356.54310071272965"/>
    <n v="560.94200000000001"/>
    <x v="7"/>
    <s v="EV-AU-D2"/>
    <s v="PALF"/>
    <s v="Wildcat 2025"/>
    <s v="CONGO"/>
    <m/>
    <m/>
    <m/>
  </r>
  <r>
    <d v="2025-08-14T00:00:00"/>
    <s v="Taxi: Bureau-Imprimérie DL/ pour retirer les cartes de visite du Coordo"/>
    <x v="0"/>
    <x v="5"/>
    <n v="1500"/>
    <n v="2.6740732553454722"/>
    <n v="560.94200000000001"/>
    <x v="10"/>
    <s v="RM-AU-D1"/>
    <s v="PALF"/>
    <s v="Wildcat 2025"/>
    <s v="CONGO"/>
    <m/>
    <m/>
    <m/>
  </r>
  <r>
    <d v="2025-08-14T00:00:00"/>
    <s v="Taxi: Imprimérie DL -Bureau"/>
    <x v="0"/>
    <x v="5"/>
    <n v="1500"/>
    <n v="2.6740732553454722"/>
    <n v="560.94200000000001"/>
    <x v="10"/>
    <s v="RM-AU-D1"/>
    <s v="PALF"/>
    <s v="Wildcat 2025"/>
    <s v="CONGO"/>
    <m/>
    <m/>
    <m/>
  </r>
  <r>
    <d v="2025-08-14T00:00:00"/>
    <s v="Paiement salaire du mois de Juillet 2025/Homéfa DOVI/3654413"/>
    <x v="2"/>
    <x v="0"/>
    <n v="1311000"/>
    <n v="2337.1400251719429"/>
    <n v="560.94200000000001"/>
    <x v="2"/>
    <s v="BQ-AU-R5"/>
    <s v="PALF"/>
    <s v="Wildcat 2025"/>
    <s v="CONGO"/>
    <m/>
    <m/>
    <m/>
  </r>
  <r>
    <d v="2025-08-14T00:00:00"/>
    <s v="Solde honoraire contrat N°63_Brazzaville cas IBAMBOU ATEMBO Delmand Ferréol/Maitre Marie Hélène NANITELAMIO MALONGA/ 3654416"/>
    <x v="10"/>
    <x v="5"/>
    <n v="300000"/>
    <n v="534.81465106909445"/>
    <n v="560.94200000000001"/>
    <x v="2"/>
    <s v="BQ-AU-R6"/>
    <s v="PALF"/>
    <s v="Wildcat 2025"/>
    <s v="CONGO"/>
    <m/>
    <m/>
    <m/>
  </r>
  <r>
    <d v="2025-08-15T00:00:00"/>
    <s v="CREPIN-CONGO-Frais d'hôtel du 14 au 15/08/2025 à Oyo (01 Nuitée)"/>
    <x v="7"/>
    <x v="5"/>
    <n v="15000"/>
    <n v="26.740732553454723"/>
    <n v="560.94200000000001"/>
    <x v="8"/>
    <s v="CR-AU-R1-2"/>
    <s v="PALF"/>
    <s v="Wildcat 2025"/>
    <s v="CONGO"/>
    <m/>
    <m/>
    <m/>
  </r>
  <r>
    <d v="2025-08-15T00:00:00"/>
    <s v="Taxi moto: Hôtel Saint Bénoit-Agence Océan"/>
    <x v="0"/>
    <x v="5"/>
    <n v="500"/>
    <n v="0.89135775178182408"/>
    <n v="560.94200000000001"/>
    <x v="8"/>
    <s v="CR-AU-D1"/>
    <s v="PALF"/>
    <s v="Wildcat 2025"/>
    <s v="CONGO"/>
    <m/>
    <m/>
    <m/>
  </r>
  <r>
    <d v="2025-08-15T00:00:00"/>
    <s v="Taxi moto: Agence Océan Enyéllé-Hôtel La Paulina"/>
    <x v="0"/>
    <x v="5"/>
    <n v="500"/>
    <n v="0.89135775178182408"/>
    <n v="560.94200000000001"/>
    <x v="8"/>
    <s v="CR-AU-D1"/>
    <s v="PALF"/>
    <s v="Wildcat 2025"/>
    <s v="CONGO"/>
    <m/>
    <m/>
    <m/>
  </r>
  <r>
    <d v="2025-08-15T00:00:00"/>
    <s v="Credit telephonique MTN PALF/du 14 au 17 Août 2025"/>
    <x v="3"/>
    <x v="5"/>
    <n v="5000"/>
    <n v="8.9135775178182417"/>
    <n v="560.94200000000001"/>
    <x v="8"/>
    <s v="CR-AU-R1-3"/>
    <s v="PALF"/>
    <s v="Wildcat 2025"/>
    <s v="CONGO"/>
    <m/>
    <m/>
    <m/>
  </r>
  <r>
    <d v="2025-08-15T00:00:00"/>
    <s v="Taxi:  Domicile- Direction MTN/Achat crédits  pour les agents en mission d'Impfondo"/>
    <x v="0"/>
    <x v="1"/>
    <n v="1500"/>
    <n v="2.6740732553454722"/>
    <n v="560.94200000000001"/>
    <x v="1"/>
    <s v="P-AU-D1"/>
    <s v="PALF"/>
    <s v="Wildcat 2025"/>
    <s v="CONGO"/>
    <m/>
    <m/>
    <m/>
  </r>
  <r>
    <d v="2025-08-15T00:00:00"/>
    <s v="Taxi:   Direction MTN- Domicile/Achat crédits Achat crédits pour les agents en mission d'Impfondo"/>
    <x v="0"/>
    <x v="1"/>
    <n v="1500"/>
    <n v="2.6740732553454722"/>
    <n v="560.94200000000001"/>
    <x v="1"/>
    <s v="P-AU-D1"/>
    <s v="PALF"/>
    <s v="Wildcat 2025"/>
    <s v="CONGO"/>
    <m/>
    <m/>
    <m/>
  </r>
  <r>
    <d v="2025-08-15T00:00:00"/>
    <s v="Taxi hotel-agence,la suite du voyage pour impfondo"/>
    <x v="0"/>
    <x v="2"/>
    <n v="1000"/>
    <n v="1.7827155035636482"/>
    <n v="560.94200000000001"/>
    <x v="3"/>
    <s v="P29-AU-D1"/>
    <s v="PALF"/>
    <s v="Wildcat 2025"/>
    <s v="CONGO"/>
    <m/>
    <m/>
    <m/>
  </r>
  <r>
    <d v="2025-08-15T00:00:00"/>
    <s v="P29 -CONGO Frais d'hotel du 14 au 15/08/2025 à  oyo (01 Nuitée)"/>
    <x v="7"/>
    <x v="2"/>
    <n v="15000"/>
    <n v="26.740732553454723"/>
    <n v="560.94200000000001"/>
    <x v="3"/>
    <s v="P29-AU-R3"/>
    <s v="PALF"/>
    <s v="Wildcat 2025"/>
    <s v="CONGO"/>
    <m/>
    <m/>
    <m/>
  </r>
  <r>
    <d v="2025-08-15T00:00:00"/>
    <s v="Taxi tricycle agence océan -hotel,arrivé à enyelle"/>
    <x v="0"/>
    <x v="2"/>
    <n v="1000"/>
    <n v="1.7827155035636482"/>
    <n v="560.94200000000001"/>
    <x v="3"/>
    <s v="P29-AU-D1"/>
    <s v="PALF"/>
    <s v="Wildcat 2025"/>
    <s v="CONGO"/>
    <m/>
    <m/>
    <m/>
  </r>
  <r>
    <d v="2025-08-15T00:00:00"/>
    <s v="Credit telephonique MTN PALF/ du 07 au 10 Août 2025/ Investigation/P29"/>
    <x v="3"/>
    <x v="2"/>
    <n v="5000"/>
    <n v="8.9135775178182417"/>
    <n v="560.94200000000001"/>
    <x v="3"/>
    <s v="P29-AU-R4"/>
    <s v="PALF"/>
    <s v="Wildcat 2025"/>
    <s v="CONGO"/>
    <m/>
    <m/>
    <m/>
  </r>
  <r>
    <d v="2025-08-15T00:00:00"/>
    <s v="T73 - CONGO Frais d'hotel du 14 au 15/08/2025  à Oyo ( 01nuitée)"/>
    <x v="7"/>
    <x v="2"/>
    <n v="15000"/>
    <n v="26.740732553454723"/>
    <n v="560.94200000000001"/>
    <x v="4"/>
    <s v="T73-AU-R3"/>
    <s v="PALF"/>
    <s v="Wildcat 2025"/>
    <s v="CONGO"/>
    <m/>
    <m/>
    <m/>
  </r>
  <r>
    <d v="2025-08-15T00:00:00"/>
    <s v="Taxi : hotel - agence océan du nord"/>
    <x v="0"/>
    <x v="2"/>
    <n v="500"/>
    <n v="0.89135775178182408"/>
    <n v="560.94200000000001"/>
    <x v="4"/>
    <s v="T73-AU-D1"/>
    <s v="PALF"/>
    <s v="Wildcat 2025"/>
    <s v="CONGO"/>
    <m/>
    <m/>
    <m/>
  </r>
  <r>
    <d v="2025-08-15T00:00:00"/>
    <s v="Taxi moto : agence océan - hotel"/>
    <x v="0"/>
    <x v="2"/>
    <n v="500"/>
    <n v="0.89135775178182408"/>
    <n v="560.94200000000001"/>
    <x v="4"/>
    <s v="T73-AU-D1"/>
    <s v="PALF"/>
    <s v="Wildcat 2025"/>
    <s v="CONGO"/>
    <m/>
    <m/>
    <m/>
  </r>
  <r>
    <d v="2025-08-15T00:00:00"/>
    <s v="Credit telephonique MTN PALF/ du 14 au 17 Août 2025/ Investigation/T73"/>
    <x v="3"/>
    <x v="2"/>
    <n v="5000"/>
    <n v="8.9135775178182417"/>
    <n v="560.94200000000001"/>
    <x v="4"/>
    <s v="T73-AU-R4"/>
    <s v="PALF"/>
    <s v="Wildcat 2025"/>
    <s v="CONGO"/>
    <m/>
    <m/>
    <m/>
  </r>
  <r>
    <d v="2025-08-15T00:00:00"/>
    <s v="Donald Roméo- CONGO Frais d'hôtel du 14 au 15/08/2025 à Oyo (01 Nuitée)"/>
    <x v="7"/>
    <x v="5"/>
    <n v="15000"/>
    <n v="26.740732553454723"/>
    <n v="560.94200000000001"/>
    <x v="9"/>
    <s v="DR-AU-R2"/>
    <s v="PALF"/>
    <s v="Wildcat 2025"/>
    <s v="CONGO"/>
    <m/>
    <m/>
    <m/>
  </r>
  <r>
    <d v="2025-08-15T00:00:00"/>
    <s v="Taxi Hôtel Saint Benoit-agence Océan du Nord d'Oyo"/>
    <x v="9"/>
    <x v="5"/>
    <n v="500"/>
    <n v="0.89135775178182408"/>
    <n v="560.94200000000001"/>
    <x v="9"/>
    <s v="DR-AU-D1"/>
    <s v="PALF"/>
    <s v="Wildcat 2025"/>
    <s v="CONGO"/>
    <m/>
    <m/>
    <m/>
  </r>
  <r>
    <d v="2025-08-15T00:00:00"/>
    <s v="Taxi Hôtel agence Océan du Nord d'Enyelé-Hôtel Paulina"/>
    <x v="9"/>
    <x v="5"/>
    <n v="500"/>
    <n v="0.89135775178182408"/>
    <n v="560.94200000000001"/>
    <x v="9"/>
    <s v="DR-AU-D1"/>
    <s v="PALF"/>
    <s v="Wildcat 2025"/>
    <s v="CONGO"/>
    <m/>
    <m/>
    <m/>
  </r>
  <r>
    <d v="2025-08-15T00:00:00"/>
    <s v="Credit telephonique MTN PALF/du 14 au 17 Août 2025"/>
    <x v="3"/>
    <x v="5"/>
    <n v="5000"/>
    <n v="8.9135775178182417"/>
    <n v="560.94200000000001"/>
    <x v="9"/>
    <s v="DR-AU-R3"/>
    <s v="PALF"/>
    <s v="Wildcat 2025"/>
    <s v="CONGO"/>
    <m/>
    <m/>
    <m/>
  </r>
  <r>
    <d v="2025-08-15T00:00:00"/>
    <s v="Evariste-CONGO Frais de l'hôtel du 14 au 15/08/2025 à Oyo ( 01 nuitée)"/>
    <x v="7"/>
    <x v="3"/>
    <n v="15000"/>
    <n v="26.740732553454723"/>
    <n v="560.94200000000001"/>
    <x v="7"/>
    <s v="EV-AU-R2"/>
    <s v="PALF"/>
    <s v="Wildcat 2025"/>
    <s v="CONGO"/>
    <m/>
    <m/>
    <m/>
  </r>
  <r>
    <d v="2025-08-15T00:00:00"/>
    <s v="Taxi moto, Hôtel Saint Benoit-Agence Océan du Nord d'Oyo"/>
    <x v="0"/>
    <x v="3"/>
    <n v="500"/>
    <n v="0.89135775178182408"/>
    <n v="560.94200000000001"/>
    <x v="7"/>
    <s v="EV-AU-D1"/>
    <s v="PALF"/>
    <s v="Wildcat 2025"/>
    <s v="CONGO"/>
    <m/>
    <m/>
    <m/>
  </r>
  <r>
    <d v="2025-08-15T00:00:00"/>
    <s v="Credit telephonique MTN PALF/du 14 au 17 Août 2025"/>
    <x v="3"/>
    <x v="3"/>
    <n v="5000"/>
    <n v="8.9135775178182417"/>
    <n v="560.94200000000001"/>
    <x v="7"/>
    <s v="EV-AU-R3"/>
    <s v="PALF"/>
    <s v="Wildcat 2025"/>
    <s v="CONGO"/>
    <m/>
    <m/>
    <m/>
  </r>
  <r>
    <d v="2025-08-16T00:00:00"/>
    <s v="CREPIN-CONGO-Frais d'hôtel  du 15 au 16/08/2025 à Enyellé (01 Nuitée)"/>
    <x v="7"/>
    <x v="5"/>
    <n v="15000"/>
    <n v="26.740732553454723"/>
    <n v="560.94200000000001"/>
    <x v="8"/>
    <s v="CR-AU-R1-4"/>
    <s v="PALF"/>
    <s v="Wildcat 2025"/>
    <s v="CONGO"/>
    <m/>
    <m/>
    <m/>
  </r>
  <r>
    <d v="2025-08-16T00:00:00"/>
    <s v="Taxi moto: Hôtel Polina-Agence Océan du nord"/>
    <x v="0"/>
    <x v="5"/>
    <n v="500"/>
    <n v="0.89135775178182408"/>
    <n v="560.94200000000001"/>
    <x v="8"/>
    <s v="CR-AU-D1"/>
    <s v="PALF"/>
    <s v="Wildcat 2025"/>
    <s v="CONGO"/>
    <m/>
    <m/>
    <m/>
  </r>
  <r>
    <d v="2025-08-16T00:00:00"/>
    <s v="Taxi moto: Agence Océan d'Impfondo-Hôtel Mithé"/>
    <x v="0"/>
    <x v="5"/>
    <n v="500"/>
    <n v="0.89135775178182408"/>
    <n v="560.94200000000001"/>
    <x v="8"/>
    <s v="CR-AU-D1"/>
    <s v="PALF"/>
    <s v="Wildcat 2025"/>
    <s v="CONGO"/>
    <m/>
    <m/>
    <m/>
  </r>
  <r>
    <d v="2025-08-16T00:00:00"/>
    <s v="Taxi tricycle hotel-agence-suite du voyage pour impfondo"/>
    <x v="0"/>
    <x v="2"/>
    <n v="1000"/>
    <n v="1.7827155035636482"/>
    <n v="560.94200000000001"/>
    <x v="3"/>
    <s v="P29-AU-D1"/>
    <s v="PALF"/>
    <s v="Wildcat 2025"/>
    <s v="CONGO"/>
    <m/>
    <m/>
    <m/>
  </r>
  <r>
    <d v="2025-08-16T00:00:00"/>
    <s v="P29 -CONGO Frais d'hotel du 15 au 16/08/2025 à  enyelle (01 Nuitée)"/>
    <x v="7"/>
    <x v="2"/>
    <n v="15000"/>
    <n v="26.740732553454723"/>
    <n v="560.94200000000001"/>
    <x v="3"/>
    <s v="P29-AU-R5"/>
    <s v="PALF"/>
    <s v="Wildcat 2025"/>
    <s v="CONGO"/>
    <m/>
    <m/>
    <m/>
  </r>
  <r>
    <d v="2025-08-16T00:00:00"/>
    <s v="Taxi tricycle agence océan -hotel,arrivé à impfondo"/>
    <x v="0"/>
    <x v="2"/>
    <n v="1000"/>
    <n v="1.7827155035636482"/>
    <n v="560.94200000000001"/>
    <x v="3"/>
    <s v="P29-AU-D1"/>
    <s v="PALF"/>
    <s v="Wildcat 2025"/>
    <s v="CONGO"/>
    <m/>
    <m/>
    <m/>
  </r>
  <r>
    <d v="2025-08-16T00:00:00"/>
    <s v="T73 - CONGO Frais d'hotel du 15 au 16/08/2025  à Enyelle( 01nuitée)"/>
    <x v="7"/>
    <x v="2"/>
    <n v="15000"/>
    <n v="26.740732553454723"/>
    <n v="560.94200000000001"/>
    <x v="4"/>
    <s v="T73-AU-R5"/>
    <s v="PALF"/>
    <s v="Wildcat 2025"/>
    <s v="CONGO"/>
    <m/>
    <m/>
    <m/>
  </r>
  <r>
    <d v="2025-08-16T00:00:00"/>
    <s v="Taxi moto : hotel - agence océan du nord"/>
    <x v="0"/>
    <x v="2"/>
    <n v="500"/>
    <n v="0.89135775178182408"/>
    <n v="560.94200000000001"/>
    <x v="4"/>
    <s v="T73-AU-D1"/>
    <s v="PALF"/>
    <s v="Wildcat 2025"/>
    <s v="CONGO"/>
    <m/>
    <m/>
    <m/>
  </r>
  <r>
    <d v="2025-08-16T00:00:00"/>
    <s v="Taxi moto : agence océan - hotel KB fils"/>
    <x v="0"/>
    <x v="2"/>
    <n v="500"/>
    <n v="0.89135775178182408"/>
    <n v="560.94200000000001"/>
    <x v="4"/>
    <s v="T73-AU-D1"/>
    <s v="PALF"/>
    <s v="Wildcat 2025"/>
    <s v="CONGO"/>
    <m/>
    <m/>
    <m/>
  </r>
  <r>
    <d v="2025-08-16T00:00:00"/>
    <s v="Donald Roméo -CONGO Frais d'hôtel/ du 15 au 16/08/2025 à Enyelé (01 Nuitée)"/>
    <x v="7"/>
    <x v="5"/>
    <n v="15000"/>
    <n v="26.740732553454723"/>
    <n v="560.94200000000001"/>
    <x v="9"/>
    <s v="DR-AU-R4"/>
    <s v="PALF"/>
    <s v="Wildcat 2025"/>
    <s v="CONGO"/>
    <m/>
    <m/>
    <m/>
  </r>
  <r>
    <d v="2025-08-16T00:00:00"/>
    <s v="Taxi Hôtel Paulina-agence Océan du Nord d'Enylé"/>
    <x v="9"/>
    <x v="5"/>
    <n v="500"/>
    <n v="0.89135775178182408"/>
    <n v="560.94200000000001"/>
    <x v="9"/>
    <s v="DR-AU-D1"/>
    <s v="PALF"/>
    <s v="Wildcat 2025"/>
    <s v="CONGO"/>
    <m/>
    <m/>
    <m/>
  </r>
  <r>
    <d v="2025-08-16T00:00:00"/>
    <s v="Taxi agence Océan du Nord d'Impfondo-Hôtel Mithé"/>
    <x v="9"/>
    <x v="5"/>
    <n v="500"/>
    <n v="0.89135775178182408"/>
    <n v="560.94200000000001"/>
    <x v="9"/>
    <s v="DR-AU-D1"/>
    <s v="PALF"/>
    <s v="Wildcat 2025"/>
    <s v="CONGO"/>
    <m/>
    <m/>
    <m/>
  </r>
  <r>
    <d v="2025-08-16T00:00:00"/>
    <s v="Evariste-CONGO Frais de l'hôtel du 15 au 16/08/2025 à Enyelé ( 01 nuitée) "/>
    <x v="7"/>
    <x v="3"/>
    <n v="15000"/>
    <n v="26.740732553454723"/>
    <n v="560.94200000000001"/>
    <x v="7"/>
    <s v="EV-AU-R4"/>
    <s v="PALF"/>
    <s v="Wildcat 2025"/>
    <s v="CONGO"/>
    <m/>
    <m/>
    <m/>
  </r>
  <r>
    <d v="2025-08-16T00:00:00"/>
    <s v="Taxi moto, Agence Océan du Nord d'Impfondo-Hôtel Mité 2"/>
    <x v="0"/>
    <x v="3"/>
    <n v="500"/>
    <n v="0.89135775178182408"/>
    <n v="560.94200000000001"/>
    <x v="7"/>
    <s v="EV-AU-D1"/>
    <s v="PALF"/>
    <s v="Wildcat 2025"/>
    <s v="CONGO"/>
    <m/>
    <m/>
    <m/>
  </r>
  <r>
    <d v="2025-08-18T00:00:00"/>
    <s v="Maison-Bureau"/>
    <x v="0"/>
    <x v="0"/>
    <n v="1000"/>
    <n v="1.7827155035636482"/>
    <n v="560.94200000000001"/>
    <x v="0"/>
    <s v="DH-AU-D1"/>
    <s v="PALF"/>
    <s v="Wildcat 2025"/>
    <s v="CONGO"/>
    <m/>
    <m/>
    <m/>
  </r>
  <r>
    <d v="2025-08-18T00:00:00"/>
    <s v="Bureau-Cabinet d'huissier"/>
    <x v="0"/>
    <x v="0"/>
    <n v="1000"/>
    <n v="1.7827155035636482"/>
    <n v="560.94200000000001"/>
    <x v="0"/>
    <s v="DH-AU-D1"/>
    <s v="PALF"/>
    <s v="Wildcat 2025"/>
    <s v="CONGO"/>
    <m/>
    <m/>
    <m/>
  </r>
  <r>
    <d v="2025-08-18T00:00:00"/>
    <s v="Cabinet d'huissier - Bureau"/>
    <x v="0"/>
    <x v="0"/>
    <n v="1000"/>
    <n v="1.7827155035636482"/>
    <n v="560.94200000000001"/>
    <x v="0"/>
    <s v="DH-AU-D1"/>
    <s v="PALF"/>
    <s v="Wildcat 2025"/>
    <s v="CONGO"/>
    <m/>
    <m/>
    <m/>
  </r>
  <r>
    <d v="2025-08-18T00:00:00"/>
    <s v="Bureau-Maison"/>
    <x v="0"/>
    <x v="0"/>
    <n v="1000"/>
    <n v="1.7827155035636482"/>
    <n v="560.94200000000001"/>
    <x v="0"/>
    <s v="DH-AU-D1"/>
    <s v="PALF"/>
    <s v="Wildcat 2025"/>
    <s v="CONGO"/>
    <m/>
    <m/>
    <m/>
  </r>
  <r>
    <d v="2025-08-18T00:00:00"/>
    <s v="Credit telephonique MTN/PALF/ du 18 au 31 Aout 2025/DOVI"/>
    <x v="3"/>
    <x v="0"/>
    <n v="15000"/>
    <n v="26.740732553454723"/>
    <n v="560.94200000000001"/>
    <x v="0"/>
    <s v="DH-AU-R2"/>
    <s v="PALF"/>
    <s v="Wildcat 2025"/>
    <s v="CONGO"/>
    <m/>
    <m/>
    <m/>
  </r>
  <r>
    <d v="2025-08-18T00:00:00"/>
    <s v="Reglement assurance retraite Coordinateur periode Janvier-Février- Mars- Avril-Mai - Juin 2025"/>
    <x v="2"/>
    <x v="0"/>
    <n v="300000"/>
    <n v="534.81465106909445"/>
    <n v="560.94200000000001"/>
    <x v="0"/>
    <s v="CA-AU-R3"/>
    <s v="PALF"/>
    <s v="Wildcat 2025"/>
    <s v="CONGO"/>
    <m/>
    <m/>
    <m/>
  </r>
  <r>
    <d v="2025-08-18T00:00:00"/>
    <s v="Credit telephonique MTN PALF/ du 18 au 31 Août 2025"/>
    <x v="3"/>
    <x v="5"/>
    <n v="5000"/>
    <n v="8.9135775178182417"/>
    <n v="560.94200000000001"/>
    <x v="8"/>
    <s v="CR-AU-R1-5"/>
    <s v="PALF"/>
    <s v="Wildcat 2025"/>
    <s v="CONGO"/>
    <m/>
    <m/>
    <m/>
  </r>
  <r>
    <d v="2025-08-18T00:00:00"/>
    <s v="Credit telephonique Airtel PALF/ du 18 au 31 Août 2025"/>
    <x v="3"/>
    <x v="5"/>
    <n v="5000"/>
    <n v="8.9135775178182417"/>
    <n v="560.94200000000001"/>
    <x v="8"/>
    <s v="CR-AU-R1-6"/>
    <s v="PALF"/>
    <s v="Wildcat 2025"/>
    <s v="CONGO"/>
    <m/>
    <m/>
    <m/>
  </r>
  <r>
    <d v="2025-08-18T00:00:00"/>
    <s v="Taxi:  Bureau-Banque BCI/ Aprro caisse"/>
    <x v="0"/>
    <x v="1"/>
    <n v="1000"/>
    <n v="1.7827155035636482"/>
    <n v="560.94200000000001"/>
    <x v="1"/>
    <s v="P-AU-D1"/>
    <s v="PALF"/>
    <s v="Wildcat 2025"/>
    <s v="CONGO"/>
    <m/>
    <m/>
    <m/>
  </r>
  <r>
    <d v="2025-08-18T00:00:00"/>
    <s v="Taxi:  Banque- Direction MTN/Achat credit de l'equipe PALF"/>
    <x v="0"/>
    <x v="1"/>
    <n v="1000"/>
    <n v="1.7827155035636482"/>
    <n v="560.94200000000001"/>
    <x v="1"/>
    <s v="P-AU-D1"/>
    <s v="PALF"/>
    <s v="Wildcat 2025"/>
    <s v="CONGO"/>
    <m/>
    <m/>
    <m/>
  </r>
  <r>
    <d v="2025-08-18T00:00:00"/>
    <s v="Taxi:   Direction MTN- Bureau/Achat credit de l'equipe PALF"/>
    <x v="0"/>
    <x v="1"/>
    <n v="1000"/>
    <n v="1.7827155035636482"/>
    <n v="560.94200000000001"/>
    <x v="1"/>
    <s v="P-AU-D1"/>
    <s v="PALF"/>
    <s v="Wildcat 2025"/>
    <s v="CONGO"/>
    <m/>
    <m/>
    <m/>
  </r>
  <r>
    <d v="2025-08-18T00:00:00"/>
    <s v="Credit teléphonique MTN PALF/ du 18 au 31 Août 2025/ Parfaite"/>
    <x v="3"/>
    <x v="0"/>
    <n v="10000"/>
    <n v="17.827155035636483"/>
    <n v="560.94200000000001"/>
    <x v="1"/>
    <s v="P-AU-R1"/>
    <s v="PALF"/>
    <s v="Wildcat 2025"/>
    <s v="CONGO"/>
    <m/>
    <m/>
    <m/>
  </r>
  <r>
    <d v="2025-08-18T00:00:00"/>
    <s v="Taxi moto hotel-mougougui,pour repérage"/>
    <x v="0"/>
    <x v="2"/>
    <n v="500"/>
    <n v="0.89135775178182408"/>
    <n v="560.94200000000001"/>
    <x v="3"/>
    <s v="P29-AU-D1"/>
    <s v="PALF"/>
    <s v="Wildcat 2025"/>
    <s v="CONGO"/>
    <m/>
    <m/>
    <m/>
  </r>
  <r>
    <d v="2025-08-18T00:00:00"/>
    <s v="Taxi moto mougougui-toligana,pour repérage"/>
    <x v="0"/>
    <x v="2"/>
    <n v="500"/>
    <n v="0.89135775178182408"/>
    <n v="560.94200000000001"/>
    <x v="3"/>
    <s v="P29-AU-D1"/>
    <s v="PALF"/>
    <s v="Wildcat 2025"/>
    <s v="CONGO"/>
    <m/>
    <m/>
    <m/>
  </r>
  <r>
    <d v="2025-08-18T00:00:00"/>
    <s v="Taxi tricycle toligana-bakadi,pour repérage"/>
    <x v="0"/>
    <x v="2"/>
    <n v="1000"/>
    <n v="1.7827155035636482"/>
    <n v="560.94200000000001"/>
    <x v="3"/>
    <s v="P29-AU-D1"/>
    <s v="PALF"/>
    <s v="Wildcat 2025"/>
    <s v="CONGO"/>
    <m/>
    <m/>
    <m/>
  </r>
  <r>
    <d v="2025-08-18T00:00:00"/>
    <s v="Taxi tricycle bakadi-cf,retrait des fonds"/>
    <x v="0"/>
    <x v="2"/>
    <n v="1000"/>
    <n v="1.7827155035636482"/>
    <n v="560.94200000000001"/>
    <x v="3"/>
    <s v="P29-AU-D1"/>
    <s v="PALF"/>
    <s v="Wildcat 2025"/>
    <s v="CONGO"/>
    <m/>
    <m/>
    <m/>
  </r>
  <r>
    <d v="2025-08-18T00:00:00"/>
    <s v="Taxi tricycle cf-angola,pour réperage"/>
    <x v="0"/>
    <x v="2"/>
    <n v="1000"/>
    <n v="1.7827155035636482"/>
    <n v="560.94200000000001"/>
    <x v="3"/>
    <s v="P29-AU-D1"/>
    <s v="PALF"/>
    <s v="Wildcat 2025"/>
    <s v="CONGO"/>
    <m/>
    <m/>
    <m/>
  </r>
  <r>
    <d v="2025-08-18T00:00:00"/>
    <s v="Taxi moto angola-tossagana,pour réperage"/>
    <x v="0"/>
    <x v="2"/>
    <n v="500"/>
    <n v="0.89135775178182408"/>
    <n v="560.94200000000001"/>
    <x v="3"/>
    <s v="P29-AU-D1"/>
    <s v="PALF"/>
    <s v="Wildcat 2025"/>
    <s v="CONGO"/>
    <m/>
    <m/>
    <m/>
  </r>
  <r>
    <d v="2025-08-18T00:00:00"/>
    <s v="Taxi tricycle tossagana-hotel"/>
    <x v="0"/>
    <x v="2"/>
    <n v="1000"/>
    <n v="1.7827155035636482"/>
    <n v="560.94200000000001"/>
    <x v="3"/>
    <s v="P29-AU-D1"/>
    <s v="PALF"/>
    <s v="Wildcat 2025"/>
    <s v="CONGO"/>
    <m/>
    <m/>
    <m/>
  </r>
  <r>
    <d v="2025-08-18T00:00:00"/>
    <s v="Credit telephonique MTN PALF/ du 18 au 31 Août 2025/ Investigation/P29"/>
    <x v="3"/>
    <x v="2"/>
    <n v="10000"/>
    <n v="17.827155035636483"/>
    <n v="560.94200000000001"/>
    <x v="3"/>
    <s v="P29-AU-R6"/>
    <s v="PALF"/>
    <s v="Wildcat 2025"/>
    <s v="CONGO"/>
    <m/>
    <m/>
    <m/>
  </r>
  <r>
    <d v="2025-08-18T00:00:00"/>
    <s v="Credit telephonique Airtel PALF/ du18 au 31 Août 2025/ Investigation/P29"/>
    <x v="3"/>
    <x v="2"/>
    <n v="5000"/>
    <n v="8.9135775178182417"/>
    <n v="560.94200000000001"/>
    <x v="3"/>
    <s v="P29-AU-R7"/>
    <s v="PALF"/>
    <s v="Wildcat 2025"/>
    <s v="CONGO"/>
    <m/>
    <m/>
    <m/>
  </r>
  <r>
    <d v="2025-08-18T00:00:00"/>
    <s v="Taxi moto : hotel KB fils -centre ville ( reperage lieu OP)"/>
    <x v="0"/>
    <x v="2"/>
    <n v="500"/>
    <n v="0.89135775178182408"/>
    <n v="560.94200000000001"/>
    <x v="4"/>
    <s v="T73-AU-D1"/>
    <s v="PALF"/>
    <s v="Wildcat 2025"/>
    <s v="CONGO"/>
    <m/>
    <m/>
    <m/>
  </r>
  <r>
    <d v="2025-08-18T00:00:00"/>
    <s v="Taxi moto : centre ville - quartier angola ( reperage lieu OP)"/>
    <x v="0"/>
    <x v="2"/>
    <n v="500"/>
    <n v="0.89135775178182408"/>
    <n v="560.94200000000001"/>
    <x v="4"/>
    <s v="T73-AU-D1"/>
    <s v="PALF"/>
    <s v="Wildcat 2025"/>
    <s v="CONGO"/>
    <m/>
    <m/>
    <m/>
  </r>
  <r>
    <d v="2025-08-18T00:00:00"/>
    <s v="Taxi moto : quartier angola - charden farell ( reperage lieu OP)"/>
    <x v="0"/>
    <x v="2"/>
    <n v="500"/>
    <n v="0.89135775178182408"/>
    <n v="560.94200000000001"/>
    <x v="4"/>
    <s v="T73-AU-D1"/>
    <s v="PALF"/>
    <s v="Wildcat 2025"/>
    <s v="CONGO"/>
    <m/>
    <m/>
    <m/>
  </r>
  <r>
    <d v="2025-08-18T00:00:00"/>
    <s v="Taxi moto : charden farell - hotel KB fils( reperage lieu OP)"/>
    <x v="0"/>
    <x v="2"/>
    <n v="500"/>
    <n v="0.89135775178182408"/>
    <n v="560.94200000000001"/>
    <x v="4"/>
    <s v="T73-AU-D1"/>
    <s v="PALF"/>
    <s v="Wildcat 2025"/>
    <s v="CONGO"/>
    <m/>
    <m/>
    <m/>
  </r>
  <r>
    <d v="2025-08-18T00:00:00"/>
    <s v="Credit telephonique MTN PALF/ du 14 au 17 Août 2025/ Investigation/T73"/>
    <x v="3"/>
    <x v="2"/>
    <n v="15000"/>
    <n v="26.740732553454723"/>
    <n v="560.94200000000001"/>
    <x v="4"/>
    <s v="T73-AU-R6"/>
    <s v="PALF"/>
    <s v="Wildcat 2025"/>
    <s v="CONGO"/>
    <m/>
    <m/>
    <m/>
  </r>
  <r>
    <d v="2025-08-18T00:00:00"/>
    <s v="Taxi : Bureau - Agence Ocean du nord/ Achat billet "/>
    <x v="0"/>
    <x v="2"/>
    <n v="1000"/>
    <n v="1.7827155035636482"/>
    <n v="560.94200000000001"/>
    <x v="5"/>
    <s v="IT87-AU-D1"/>
    <s v="PALF"/>
    <s v="Wildcat 2025"/>
    <s v="CONGO"/>
    <m/>
    <m/>
    <m/>
  </r>
  <r>
    <d v="2025-08-18T00:00:00"/>
    <s v="Taxi : Agence Ocean du nord - Agence trans bony/ Achat billet"/>
    <x v="0"/>
    <x v="2"/>
    <n v="1000"/>
    <n v="1.7827155035636482"/>
    <n v="560.94200000000001"/>
    <x v="5"/>
    <s v="IT87-AU-D1"/>
    <s v="PALF"/>
    <s v="Wildcat 2025"/>
    <s v="CONGO"/>
    <m/>
    <m/>
    <m/>
  </r>
  <r>
    <d v="2025-08-18T00:00:00"/>
    <s v="Achat billet Brazzaville - Ngo/ IT87"/>
    <x v="0"/>
    <x v="2"/>
    <n v="5000"/>
    <n v="8.9135775178182417"/>
    <n v="560.94200000000001"/>
    <x v="5"/>
    <s v="IT87-AU-R2"/>
    <s v="PALF"/>
    <s v="Wildcat 2025"/>
    <s v="CONGO"/>
    <m/>
    <m/>
    <m/>
  </r>
  <r>
    <d v="2025-08-18T00:00:00"/>
    <s v="Taxi : Agence trans bony - Domicile/ Retour d'achat billet"/>
    <x v="0"/>
    <x v="2"/>
    <n v="2000"/>
    <n v="3.5654310071272963"/>
    <n v="560.94200000000001"/>
    <x v="5"/>
    <s v="IT87-AU-D1"/>
    <s v="PALF"/>
    <s v="Wildcat 2025"/>
    <s v="CONGO"/>
    <m/>
    <m/>
    <m/>
  </r>
  <r>
    <d v="2025-08-18T00:00:00"/>
    <s v="Credit telephonique MTN PALF/du 18au 31 Aout 2025/IT87"/>
    <x v="3"/>
    <x v="2"/>
    <n v="15000"/>
    <n v="26.740732553454723"/>
    <n v="560.94200000000001"/>
    <x v="5"/>
    <s v="IT87-AU-R3"/>
    <s v="PALF"/>
    <s v="Wildcat 2025"/>
    <s v="CONGO"/>
    <m/>
    <m/>
    <m/>
  </r>
  <r>
    <d v="2025-08-18T00:00:00"/>
    <s v="G12-CONGO Achat billet Brazzaville - Pointe Noire"/>
    <x v="0"/>
    <x v="2"/>
    <n v="12000"/>
    <n v="21.392586042763778"/>
    <n v="560.94200000000001"/>
    <x v="6"/>
    <s v="G12-AU-R2"/>
    <s v="PALF"/>
    <s v="Wildcat 2025"/>
    <s v="CONGO"/>
    <m/>
    <m/>
    <m/>
  </r>
  <r>
    <d v="2025-08-18T00:00:00"/>
    <s v="Credit telephonique MTN PALF/du 18 au 31 Aout 2025/G12"/>
    <x v="3"/>
    <x v="2"/>
    <n v="5000"/>
    <n v="8.9135775178182417"/>
    <n v="560.94200000000001"/>
    <x v="6"/>
    <s v="G12-AU-R3"/>
    <s v="PALF"/>
    <s v="Wildcat 2025"/>
    <s v="CONGO"/>
    <m/>
    <m/>
    <m/>
  </r>
  <r>
    <d v="2025-08-18T00:00:00"/>
    <s v="Credit telephonique Airtel PALF/du 18 au 31 Aout 2025/G12"/>
    <x v="3"/>
    <x v="2"/>
    <n v="10000"/>
    <n v="17.827155035636483"/>
    <n v="560.94200000000001"/>
    <x v="6"/>
    <s v="G12-AU-R4"/>
    <s v="PALF"/>
    <s v="Wildcat 2025"/>
    <s v="CONGO"/>
    <m/>
    <m/>
    <m/>
  </r>
  <r>
    <d v="2025-08-18T00:00:00"/>
    <s v="Taxi: Bureau- Agence Charden Farell/ Transfert d'argent"/>
    <x v="0"/>
    <x v="5"/>
    <n v="500"/>
    <n v="0.89135775178182408"/>
    <n v="560.94200000000001"/>
    <x v="11"/>
    <s v="AB-AU-D1"/>
    <s v="PALF"/>
    <s v="Wildcat 2025"/>
    <s v="CONGO"/>
    <m/>
    <m/>
    <m/>
  </r>
  <r>
    <d v="2025-08-18T00:00:00"/>
    <s v="Taxi: Agence Charden Farell-Bureau/Transfert d'argent"/>
    <x v="0"/>
    <x v="5"/>
    <n v="500"/>
    <n v="0.89135775178182408"/>
    <n v="560.94200000000001"/>
    <x v="11"/>
    <s v="AB-AU-D1"/>
    <s v="PALF"/>
    <s v="Wildcat 2025"/>
    <s v="CONGO"/>
    <m/>
    <m/>
    <m/>
  </r>
  <r>
    <d v="2025-08-18T00:00:00"/>
    <s v="Frais de tansfert d'argent à crépin, Donald-Roméo, Evariste, P29 et T73"/>
    <x v="11"/>
    <x v="1"/>
    <n v="32940"/>
    <n v="58.722648687386574"/>
    <n v="560.94200000000001"/>
    <x v="11"/>
    <s v="CA-AU-R2"/>
    <s v="PALF"/>
    <s v="Wildcat 2025"/>
    <s v="CONGO"/>
    <m/>
    <m/>
    <m/>
  </r>
  <r>
    <d v="2025-08-18T00:00:00"/>
    <s v="Credit telephonique MTN PALF/ du 18 au 31 Août 2025/Abraham"/>
    <x v="3"/>
    <x v="5"/>
    <n v="5000"/>
    <n v="8.9135775178182417"/>
    <n v="560.94200000000001"/>
    <x v="11"/>
    <s v="AB-AU-R1"/>
    <s v="PALF"/>
    <s v="Wildcat 2025"/>
    <s v="CONGO"/>
    <m/>
    <m/>
    <m/>
  </r>
  <r>
    <d v="2025-08-18T00:00:00"/>
    <s v="Credit telephonique Airtel PALF/ du 18 au 31 Août 2025/Abraham"/>
    <x v="3"/>
    <x v="5"/>
    <n v="5000"/>
    <n v="8.9135775178182417"/>
    <n v="560.94200000000001"/>
    <x v="11"/>
    <s v="AB-AU-R2"/>
    <s v="PALF"/>
    <s v="Wildcat 2025"/>
    <s v="CONGO"/>
    <m/>
    <m/>
    <m/>
  </r>
  <r>
    <d v="2025-08-18T00:00:00"/>
    <s v="Taxi:Bureau-Agence Trans bony de la frontiere pour la réservation du billet"/>
    <x v="0"/>
    <x v="5"/>
    <n v="1000"/>
    <n v="1.7827155035636482"/>
    <n v="560.94200000000001"/>
    <x v="12"/>
    <s v="RO-AU-D1"/>
    <s v="PALF"/>
    <s v="Wildcat 2025"/>
    <s v="CONGO"/>
    <m/>
    <m/>
    <m/>
  </r>
  <r>
    <d v="2025-08-18T00:00:00"/>
    <s v=" Achat billet Brazzaville-Loudima/ Roderlin"/>
    <x v="0"/>
    <x v="5"/>
    <n v="8000"/>
    <n v="14.261724028509185"/>
    <n v="560.94200000000001"/>
    <x v="12"/>
    <s v="RO-AU-R1"/>
    <s v="PALF"/>
    <s v="Wildcat 2025"/>
    <s v="CONGO"/>
    <m/>
    <m/>
    <m/>
  </r>
  <r>
    <d v="2025-08-18T00:00:00"/>
    <s v="Taxi:Agence trans bony de la frontiere-Bureau"/>
    <x v="0"/>
    <x v="5"/>
    <n v="1000"/>
    <n v="1.7827155035636482"/>
    <n v="560.94200000000001"/>
    <x v="12"/>
    <s v="RO-AU-D1"/>
    <s v="PALF"/>
    <s v="Wildcat 2025"/>
    <s v="CONGO"/>
    <m/>
    <m/>
    <m/>
  </r>
  <r>
    <d v="2025-08-18T00:00:00"/>
    <s v="Credit telephonique MTN PALF/du 18 au 31 Août 2025/Roderlin"/>
    <x v="3"/>
    <x v="5"/>
    <n v="10000"/>
    <n v="17.827155035636483"/>
    <n v="560.94200000000001"/>
    <x v="12"/>
    <s v="RO-AU-R2"/>
    <s v="PALF"/>
    <s v="Wildcat 2025"/>
    <s v="CONGO"/>
    <m/>
    <m/>
    <m/>
  </r>
  <r>
    <d v="2025-08-18T00:00:00"/>
    <s v="Taxi Hôtel Mithé-Charden farell/ Retrait des fonds"/>
    <x v="9"/>
    <x v="5"/>
    <n v="500"/>
    <n v="0.89135775178182408"/>
    <n v="560.94200000000001"/>
    <x v="9"/>
    <s v="DR-AU-D1"/>
    <s v="PALF"/>
    <s v="Wildcat 2025"/>
    <s v="CONGO"/>
    <m/>
    <m/>
    <m/>
  </r>
  <r>
    <d v="2025-08-18T00:00:00"/>
    <s v="Taxi Charden farell-Hôtel Mithé"/>
    <x v="9"/>
    <x v="5"/>
    <n v="500"/>
    <n v="0.89135775178182408"/>
    <n v="560.94200000000001"/>
    <x v="9"/>
    <s v="DR-AU-D1"/>
    <s v="PALF"/>
    <s v="Wildcat 2025"/>
    <s v="CONGO"/>
    <m/>
    <m/>
    <m/>
  </r>
  <r>
    <d v="2025-08-18T00:00:00"/>
    <s v="Credit telephonique MTN PALF/du 18 au 31 Août 2025"/>
    <x v="3"/>
    <x v="5"/>
    <n v="10000"/>
    <n v="17.827155035636483"/>
    <n v="560.94200000000001"/>
    <x v="9"/>
    <s v="DR-AU-R5"/>
    <s v="PALF"/>
    <s v="Wildcat 2025"/>
    <s v="CONGO"/>
    <m/>
    <m/>
    <m/>
  </r>
  <r>
    <d v="2025-08-18T00:00:00"/>
    <s v="Credit telephonique MTN PALF/du 18 au 31 Août 2025"/>
    <x v="3"/>
    <x v="3"/>
    <n v="10000"/>
    <n v="17.827155035636483"/>
    <n v="560.94200000000001"/>
    <x v="7"/>
    <s v="EV-AU-R5"/>
    <s v="PALF"/>
    <s v="Wildcat 2025"/>
    <s v="CONGO"/>
    <m/>
    <m/>
    <m/>
  </r>
  <r>
    <d v="2025-08-18T00:00:00"/>
    <s v="Credit telephonique MTN PALF/du 18 au 31 Août2025/Romain"/>
    <x v="3"/>
    <x v="5"/>
    <n v="10000"/>
    <n v="17.827155035636483"/>
    <n v="560.94200000000001"/>
    <x v="10"/>
    <s v="RM-AU-R1"/>
    <s v="PALF"/>
    <s v="Wildcat 2025"/>
    <s v="CONGO"/>
    <m/>
    <m/>
    <m/>
  </r>
  <r>
    <d v="2025-08-19T00:00:00"/>
    <s v="Maison-Bureau"/>
    <x v="0"/>
    <x v="0"/>
    <n v="1000"/>
    <n v="1.7827155035636482"/>
    <n v="560.94200000000001"/>
    <x v="0"/>
    <s v="DH-AU-D1"/>
    <s v="PALF"/>
    <s v="Wildcat 2025"/>
    <s v="CONGO"/>
    <m/>
    <m/>
    <m/>
  </r>
  <r>
    <d v="2025-08-19T00:00:00"/>
    <s v="Bureau-Cabinet d'huissier"/>
    <x v="0"/>
    <x v="0"/>
    <n v="1000"/>
    <n v="1.7827155035636482"/>
    <n v="560.94200000000001"/>
    <x v="0"/>
    <s v="DH-AU-D1"/>
    <s v="PALF"/>
    <s v="Wildcat 2025"/>
    <s v="CONGO"/>
    <m/>
    <m/>
    <m/>
  </r>
  <r>
    <d v="2025-08-19T00:00:00"/>
    <s v="Cabinet d'huissier - Bureau"/>
    <x v="0"/>
    <x v="0"/>
    <n v="1000"/>
    <n v="1.7827155035636482"/>
    <n v="560.94200000000001"/>
    <x v="0"/>
    <s v="DH-AU-D1"/>
    <s v="PALF"/>
    <s v="Wildcat 2025"/>
    <s v="CONGO"/>
    <m/>
    <m/>
    <m/>
  </r>
  <r>
    <d v="2025-08-19T00:00:00"/>
    <s v="Bureau-Maison"/>
    <x v="0"/>
    <x v="0"/>
    <n v="1000"/>
    <n v="1.7827155035636482"/>
    <n v="560.94200000000001"/>
    <x v="0"/>
    <s v="DH-AU-D1"/>
    <s v="PALF"/>
    <s v="Wildcat 2025"/>
    <s v="CONGO"/>
    <m/>
    <m/>
    <m/>
  </r>
  <r>
    <d v="2025-08-19T00:00:00"/>
    <s v="Taxi:  Bureau- Cabinet d'avocat/Depot  de notification de suspension contat Mervielle"/>
    <x v="0"/>
    <x v="1"/>
    <n v="1000"/>
    <n v="1.7827155035636482"/>
    <n v="560.94200000000001"/>
    <x v="1"/>
    <s v="P-AU-D1"/>
    <s v="PALF"/>
    <s v="Wildcat 2025"/>
    <s v="CONGO"/>
    <m/>
    <m/>
    <m/>
  </r>
  <r>
    <d v="2025-08-19T00:00:00"/>
    <s v="Taxi:  Cabinet d'Avocat - Banque/Paiement frais de notification contrat romain ACPE"/>
    <x v="0"/>
    <x v="1"/>
    <n v="1000"/>
    <n v="1.7827155035636482"/>
    <n v="560.94200000000001"/>
    <x v="1"/>
    <s v="P-AU-D1"/>
    <s v="PALF"/>
    <s v="Wildcat 2025"/>
    <s v="CONGO"/>
    <m/>
    <m/>
    <m/>
  </r>
  <r>
    <d v="2025-08-19T00:00:00"/>
    <s v="Taxi:  Banque-Bureau /Paiement frais de notification contrat romain ACPE "/>
    <x v="0"/>
    <x v="1"/>
    <n v="1000"/>
    <n v="1.7827155035636482"/>
    <n v="560.94200000000001"/>
    <x v="1"/>
    <s v="P-AU-D1"/>
    <s v="PALF"/>
    <s v="Wildcat 2025"/>
    <s v="CONGO"/>
    <m/>
    <m/>
    <m/>
  </r>
  <r>
    <d v="2025-08-19T00:00:00"/>
    <s v="Taxi: Bureau - Super Marché / Achat produit d'entretien  bureau PALF"/>
    <x v="0"/>
    <x v="1"/>
    <n v="1000"/>
    <n v="1.7827155035636482"/>
    <n v="560.94200000000001"/>
    <x v="1"/>
    <s v="P-AU-D1"/>
    <s v="PALF"/>
    <s v="Wildcat 2025"/>
    <s v="CONGO"/>
    <m/>
    <m/>
    <m/>
  </r>
  <r>
    <d v="2025-08-19T00:00:00"/>
    <s v="Taxi: Super Marché  - Bureau/ Achat produit d'entretien  bureau PALF"/>
    <x v="0"/>
    <x v="1"/>
    <n v="1000"/>
    <n v="1.7827155035636482"/>
    <n v="560.94200000000001"/>
    <x v="1"/>
    <s v="P-AU-D1"/>
    <s v="PALF"/>
    <s v="Wildcat 2025"/>
    <s v="CONGO"/>
    <m/>
    <m/>
    <m/>
  </r>
  <r>
    <d v="2025-08-19T00:00:00"/>
    <s v="Frais de notification contrat Romain"/>
    <x v="2"/>
    <x v="5"/>
    <n v="10500"/>
    <n v="18.718512787418305"/>
    <n v="560.94200000000001"/>
    <x v="1"/>
    <s v="CA-AU-R4"/>
    <s v="PALF"/>
    <s v="Wildcat 2025"/>
    <s v="CONGO"/>
    <m/>
    <m/>
    <m/>
  </r>
  <r>
    <d v="2025-08-19T00:00:00"/>
    <s v="Achat produit d'entretien laits /Bureau PALF"/>
    <x v="8"/>
    <x v="1"/>
    <n v="11000"/>
    <n v="19.609870539200131"/>
    <n v="560.94200000000001"/>
    <x v="1"/>
    <s v="CA-AU-R5"/>
    <s v="PALF"/>
    <s v="Wildcat 2025"/>
    <s v="CONGO"/>
    <m/>
    <m/>
    <m/>
  </r>
  <r>
    <d v="2025-08-19T00:00:00"/>
    <s v="Achat produit d'entretien javel /Bureau PALF"/>
    <x v="8"/>
    <x v="1"/>
    <n v="5000"/>
    <n v="8.9135775178182417"/>
    <n v="560.94200000000001"/>
    <x v="1"/>
    <s v="CA-AU-R5"/>
    <s v="PALF"/>
    <s v="Wildcat 2025"/>
    <s v="CONGO"/>
    <m/>
    <m/>
    <m/>
  </r>
  <r>
    <d v="2025-08-19T00:00:00"/>
    <s v="Achat produit d'entretienPapier toilette/Bureau PALF"/>
    <x v="8"/>
    <x v="1"/>
    <n v="11700"/>
    <n v="20.857771391694683"/>
    <n v="560.94200000000001"/>
    <x v="1"/>
    <s v="CA-AU-R5"/>
    <s v="PALF"/>
    <s v="Wildcat 2025"/>
    <s v="CONGO"/>
    <m/>
    <m/>
    <m/>
  </r>
  <r>
    <d v="2025-08-19T00:00:00"/>
    <s v="Achat produit d'entretien Nettoyant menage /Bureau PALF"/>
    <x v="8"/>
    <x v="1"/>
    <n v="2500"/>
    <n v="4.4567887589091209"/>
    <n v="560.94200000000001"/>
    <x v="1"/>
    <s v="CA-AU-R5"/>
    <s v="PALF"/>
    <s v="Wildcat 2025"/>
    <s v="CONGO"/>
    <m/>
    <m/>
    <m/>
  </r>
  <r>
    <d v="2025-08-19T00:00:00"/>
    <s v="Achat produit d'entretien bloc WC /Bureau PALF"/>
    <x v="8"/>
    <x v="1"/>
    <n v="3500"/>
    <n v="6.239504262472769"/>
    <n v="560.94200000000001"/>
    <x v="1"/>
    <s v="CA-AU-R5"/>
    <s v="PALF"/>
    <s v="Wildcat 2025"/>
    <s v="CONGO"/>
    <m/>
    <m/>
    <m/>
  </r>
  <r>
    <d v="2025-08-19T00:00:00"/>
    <s v="Achat produit d'entretienBoite Matinal /Bureau PALF"/>
    <x v="8"/>
    <x v="1"/>
    <n v="2750"/>
    <n v="4.9024676348000327"/>
    <n v="560.94200000000001"/>
    <x v="1"/>
    <s v="CA-AU-R5"/>
    <s v="PALF"/>
    <s v="Wildcat 2025"/>
    <s v="CONGO"/>
    <m/>
    <m/>
    <m/>
  </r>
  <r>
    <d v="2025-08-19T00:00:00"/>
    <s v="Achat produit d'entretien paquet Lipton/Bureau PALF"/>
    <x v="8"/>
    <x v="1"/>
    <n v="3500"/>
    <n v="6.239504262472769"/>
    <n v="560.94200000000001"/>
    <x v="1"/>
    <s v="CA-AU-R5"/>
    <s v="PALF"/>
    <s v="Wildcat 2025"/>
    <s v="CONGO"/>
    <m/>
    <m/>
    <m/>
  </r>
  <r>
    <d v="2025-08-19T00:00:00"/>
    <s v="Achat produit d'entretien Liquide vaiselle /Bureau PALF"/>
    <x v="8"/>
    <x v="1"/>
    <n v="1500"/>
    <n v="2.6740732553454722"/>
    <n v="560.94200000000001"/>
    <x v="1"/>
    <s v="CA-AU-R5"/>
    <s v="PALF"/>
    <s v="Wildcat 2025"/>
    <s v="CONGO"/>
    <m/>
    <m/>
    <m/>
  </r>
  <r>
    <d v="2025-08-19T00:00:00"/>
    <s v="Achat produit d'entretien Savon/Bureau PALF"/>
    <x v="8"/>
    <x v="1"/>
    <n v="1900"/>
    <n v="3.3871594567709318"/>
    <n v="560.94200000000001"/>
    <x v="1"/>
    <s v="CA-AU-R5"/>
    <s v="PALF"/>
    <s v="Wildcat 2025"/>
    <s v="CONGO"/>
    <m/>
    <m/>
    <m/>
  </r>
  <r>
    <d v="2025-08-19T00:00:00"/>
    <s v="Achat produit d'entretien proclin detergent/Bureau PALF"/>
    <x v="8"/>
    <x v="1"/>
    <n v="3700"/>
    <n v="6.596047363185499"/>
    <n v="560.94200000000001"/>
    <x v="1"/>
    <s v="CA-AU-R5"/>
    <s v="PALF"/>
    <s v="Wildcat 2025"/>
    <s v="CONGO"/>
    <m/>
    <m/>
    <m/>
  </r>
  <r>
    <d v="2025-08-19T00:00:00"/>
    <s v="Achat produit d'entretien Sucre /Bureau PALF"/>
    <x v="8"/>
    <x v="1"/>
    <n v="3500"/>
    <n v="6.239504262472769"/>
    <n v="560.94200000000001"/>
    <x v="1"/>
    <s v="CA-AU-R5"/>
    <s v="PALF"/>
    <s v="Wildcat 2025"/>
    <s v="CONGO"/>
    <m/>
    <m/>
    <m/>
  </r>
  <r>
    <d v="2025-08-19T00:00:00"/>
    <s v="Achat produit d'entretien Sac poubelle /Bureau PALF"/>
    <x v="8"/>
    <x v="1"/>
    <n v="2000"/>
    <n v="3.5654310071272963"/>
    <n v="560.94200000000001"/>
    <x v="1"/>
    <s v="CA-AU-R5"/>
    <s v="PALF"/>
    <s v="Wildcat 2025"/>
    <s v="CONGO"/>
    <m/>
    <m/>
    <m/>
  </r>
  <r>
    <d v="2025-08-19T00:00:00"/>
    <s v="Taxi tricycle hotel-angola,pour réperage"/>
    <x v="0"/>
    <x v="2"/>
    <n v="1000"/>
    <n v="1.7827155035636482"/>
    <n v="560.94200000000001"/>
    <x v="3"/>
    <s v="P29-AU-D1"/>
    <s v="PALF"/>
    <s v="Wildcat 2025"/>
    <s v="CONGO"/>
    <m/>
    <m/>
    <m/>
  </r>
  <r>
    <d v="2025-08-19T00:00:00"/>
    <s v="Taxi tricycle angola-bakadi,pour reperage"/>
    <x v="0"/>
    <x v="2"/>
    <n v="1000"/>
    <n v="1.7827155035636482"/>
    <n v="560.94200000000001"/>
    <x v="3"/>
    <s v="P29-AU-D1"/>
    <s v="PALF"/>
    <s v="Wildcat 2025"/>
    <s v="CONGO"/>
    <m/>
    <m/>
    <m/>
  </r>
  <r>
    <d v="2025-08-19T00:00:00"/>
    <s v="Taxi moto bakadi-tossagana,pour reperage"/>
    <x v="0"/>
    <x v="2"/>
    <n v="500"/>
    <n v="0.89135775178182408"/>
    <n v="560.94200000000001"/>
    <x v="3"/>
    <s v="P29-AU-D1"/>
    <s v="PALF"/>
    <s v="Wildcat 2025"/>
    <s v="CONGO"/>
    <m/>
    <m/>
    <m/>
  </r>
  <r>
    <d v="2025-08-19T00:00:00"/>
    <s v="Taxi tricycle tossagana-mougougui,pour reperage"/>
    <x v="0"/>
    <x v="2"/>
    <n v="1000"/>
    <n v="1.7827155035636482"/>
    <n v="560.94200000000001"/>
    <x v="3"/>
    <s v="P29-AU-D1"/>
    <s v="PALF"/>
    <s v="Wildcat 2025"/>
    <s v="CONGO"/>
    <m/>
    <m/>
    <m/>
  </r>
  <r>
    <d v="2025-08-19T00:00:00"/>
    <s v="Taxi tricycle mougougui-aeroport,pour reperage"/>
    <x v="0"/>
    <x v="2"/>
    <n v="1000"/>
    <n v="1.7827155035636482"/>
    <n v="560.94200000000001"/>
    <x v="3"/>
    <s v="P29-AU-D1"/>
    <s v="PALF"/>
    <s v="Wildcat 2025"/>
    <s v="CONGO"/>
    <m/>
    <m/>
    <m/>
  </r>
  <r>
    <d v="2025-08-19T00:00:00"/>
    <s v="Taxi moto aeroport-hotel"/>
    <x v="0"/>
    <x v="2"/>
    <n v="500"/>
    <n v="0.89135775178182408"/>
    <n v="560.94200000000001"/>
    <x v="3"/>
    <s v="P29-AU-D1"/>
    <s v="PALF"/>
    <s v="Wildcat 2025"/>
    <s v="CONGO"/>
    <m/>
    <m/>
    <m/>
  </r>
  <r>
    <d v="2025-08-19T00:00:00"/>
    <s v="Taxi moto : hotel - parking (départ pour dangou)"/>
    <x v="0"/>
    <x v="2"/>
    <n v="500"/>
    <n v="0.89135775178182408"/>
    <n v="560.94200000000001"/>
    <x v="4"/>
    <s v="T73-AU-D1"/>
    <s v="PALF"/>
    <s v="Wildcat 2025"/>
    <s v="CONGO"/>
    <m/>
    <m/>
    <m/>
  </r>
  <r>
    <d v="2025-08-19T00:00:00"/>
    <s v="Achat billet  Impfondo - Dangou/T73"/>
    <x v="0"/>
    <x v="2"/>
    <n v="10000"/>
    <n v="17.827155035636483"/>
    <n v="560.94200000000001"/>
    <x v="4"/>
    <s v="T73-AU-R7"/>
    <s v="PALF"/>
    <s v="Wildcat 2025"/>
    <s v="CONGO"/>
    <m/>
    <m/>
    <m/>
  </r>
  <r>
    <d v="2025-08-19T00:00:00"/>
    <s v="Taxi moto : parking - domicile ( cible)"/>
    <x v="0"/>
    <x v="2"/>
    <n v="500"/>
    <n v="0.89135775178182408"/>
    <n v="560.94200000000001"/>
    <x v="4"/>
    <s v="T73-AU-D1"/>
    <s v="PALF"/>
    <s v="Wildcat 2025"/>
    <s v="CONGO"/>
    <m/>
    <m/>
    <m/>
  </r>
  <r>
    <d v="2025-08-19T00:00:00"/>
    <s v="Taxi moto : domicile ( cible) - restaurant"/>
    <x v="0"/>
    <x v="2"/>
    <n v="500"/>
    <n v="0.89135775178182408"/>
    <n v="560.94200000000001"/>
    <x v="4"/>
    <s v="T73-AU-D1"/>
    <s v="PALF"/>
    <s v="Wildcat 2025"/>
    <s v="CONGO"/>
    <m/>
    <m/>
    <m/>
  </r>
  <r>
    <d v="2025-08-19T00:00:00"/>
    <s v="Taxi moto : restaurant - parking"/>
    <x v="0"/>
    <x v="2"/>
    <n v="500"/>
    <n v="0.89135775178182408"/>
    <n v="560.94200000000001"/>
    <x v="4"/>
    <s v="T73-AU-D1"/>
    <s v="PALF"/>
    <s v="Wildcat 2025"/>
    <s v="CONGO"/>
    <m/>
    <m/>
    <m/>
  </r>
  <r>
    <d v="2025-08-19T00:00:00"/>
    <s v="Achat billet  Dangou - Impfondo/T73"/>
    <x v="0"/>
    <x v="2"/>
    <n v="10000"/>
    <n v="17.827155035636483"/>
    <n v="560.94200000000001"/>
    <x v="4"/>
    <s v="T73-AU-R8"/>
    <s v="PALF"/>
    <s v="Wildcat 2025"/>
    <s v="CONGO"/>
    <m/>
    <m/>
    <m/>
  </r>
  <r>
    <d v="2025-08-19T00:00:00"/>
    <s v="Taxi moto : parking - hotel KB fils"/>
    <x v="0"/>
    <x v="2"/>
    <n v="500"/>
    <n v="0.89135775178182408"/>
    <n v="560.94200000000001"/>
    <x v="4"/>
    <s v="T73-AU-D1"/>
    <s v="PALF"/>
    <s v="Wildcat 2025"/>
    <s v="CONGO"/>
    <m/>
    <m/>
    <m/>
  </r>
  <r>
    <d v="2025-08-19T00:00:00"/>
    <s v="IT87-CONGO Ration du 19 au 24/08/2025 à Djambala, Ngo, Inoni"/>
    <x v="7"/>
    <x v="2"/>
    <n v="50000"/>
    <n v="89.135775178182413"/>
    <n v="560.94200000000001"/>
    <x v="5"/>
    <s v="IT87-AU-D2"/>
    <s v="PALF"/>
    <s v="Wildcat 2025"/>
    <s v="CONGO"/>
    <m/>
    <m/>
    <m/>
  </r>
  <r>
    <d v="2025-08-19T00:00:00"/>
    <s v="Taxi : Domicile - Agence Trans bony/ Départ de Brazzaville pour Djambala par Ngo"/>
    <x v="0"/>
    <x v="2"/>
    <n v="2000"/>
    <n v="3.5654310071272963"/>
    <n v="560.94200000000001"/>
    <x v="5"/>
    <s v="IT87-AU-D1"/>
    <s v="PALF"/>
    <s v="Wildcat 2025"/>
    <s v="CONGO"/>
    <m/>
    <m/>
    <m/>
  </r>
  <r>
    <d v="2025-08-19T00:00:00"/>
    <s v="Taxi : Agence trans bony Ngo - Parking/ Arrivé à Ngo"/>
    <x v="0"/>
    <x v="2"/>
    <n v="500"/>
    <n v="0.89135775178182408"/>
    <n v="560.94200000000001"/>
    <x v="5"/>
    <s v="IT87-AU-D1"/>
    <s v="PALF"/>
    <s v="Wildcat 2025"/>
    <s v="CONGO"/>
    <m/>
    <m/>
    <m/>
  </r>
  <r>
    <d v="2025-08-19T00:00:00"/>
    <s v="Achat billet Ngo - Djambala/ IT87"/>
    <x v="0"/>
    <x v="2"/>
    <n v="4000"/>
    <n v="7.1308620142545927"/>
    <n v="560.94200000000001"/>
    <x v="5"/>
    <s v="IT87-AU-R4"/>
    <s v="PALF"/>
    <s v="Wildcat 2025"/>
    <s v="CONGO"/>
    <m/>
    <m/>
    <m/>
  </r>
  <r>
    <d v="2025-08-19T00:00:00"/>
    <s v="Taxi : Parking - Hôtel/ Arrivé à Djambala"/>
    <x v="0"/>
    <x v="2"/>
    <n v="500"/>
    <n v="0.89135775178182408"/>
    <n v="560.94200000000001"/>
    <x v="5"/>
    <s v="IT87-AU-D1"/>
    <s v="PALF"/>
    <s v="Wildcat 2025"/>
    <s v="CONGO"/>
    <m/>
    <m/>
    <m/>
  </r>
  <r>
    <d v="2025-08-19T00:00:00"/>
    <s v="G12-CONGO Ration du 19 au 23/08/2025 à Pointe Noire, Nzassi et Hinda"/>
    <x v="7"/>
    <x v="2"/>
    <n v="50000"/>
    <n v="89.135775178182413"/>
    <n v="560.94200000000001"/>
    <x v="6"/>
    <s v="G12-AU-D2"/>
    <s v="PALF"/>
    <s v="Wildcat 2025"/>
    <s v="CONGO"/>
    <m/>
    <m/>
    <m/>
  </r>
  <r>
    <d v="2025-08-19T00:00:00"/>
    <s v="Taxi: Domicile- agence"/>
    <x v="0"/>
    <x v="2"/>
    <n v="1000"/>
    <n v="1.7827155035636482"/>
    <n v="560.94200000000001"/>
    <x v="6"/>
    <s v="G12-AU-D1"/>
    <s v="PALF"/>
    <s v="Wildcat 2025"/>
    <s v="CONGO"/>
    <m/>
    <m/>
    <m/>
  </r>
  <r>
    <d v="2025-08-19T00:00:00"/>
    <s v="Taxi: Agence - hotel"/>
    <x v="0"/>
    <x v="2"/>
    <n v="1000"/>
    <n v="1.7827155035636482"/>
    <n v="560.94200000000001"/>
    <x v="6"/>
    <s v="G12-AU-D1"/>
    <s v="PALF"/>
    <s v="Wildcat 2025"/>
    <s v="CONGO"/>
    <m/>
    <m/>
    <m/>
  </r>
  <r>
    <d v="2025-08-19T00:00:00"/>
    <s v="Taxi:Domicile-Agence Trans bony de kintélé"/>
    <x v="0"/>
    <x v="5"/>
    <n v="1000"/>
    <n v="1.7827155035636482"/>
    <n v="560.94200000000001"/>
    <x v="12"/>
    <s v="RO-AU-D1"/>
    <s v="PALF"/>
    <s v="Wildcat 2025"/>
    <s v="CONGO"/>
    <m/>
    <m/>
    <m/>
  </r>
  <r>
    <d v="2025-08-19T00:00:00"/>
    <s v=" Achat billet Loudima-Sibiti/ Roderlin"/>
    <x v="0"/>
    <x v="5"/>
    <n v="4000"/>
    <n v="7.1308620142545927"/>
    <n v="560.94200000000001"/>
    <x v="12"/>
    <s v="RO-AU-R3"/>
    <s v="PALF"/>
    <s v="Wildcat 2025"/>
    <s v="CONGO"/>
    <m/>
    <m/>
    <m/>
  </r>
  <r>
    <d v="2025-08-19T00:00:00"/>
    <s v="Taxi-moto: La gare routiere de Sibiti-Hôtel le papyrus "/>
    <x v="0"/>
    <x v="5"/>
    <n v="500"/>
    <n v="0.89135775178182408"/>
    <n v="560.94200000000001"/>
    <x v="12"/>
    <s v="RO-AU-D1"/>
    <s v="PALF"/>
    <s v="Wildcat 2025"/>
    <s v="CONGO"/>
    <m/>
    <m/>
    <m/>
  </r>
  <r>
    <d v="2025-08-19T00:00:00"/>
    <s v="Taxi-moto:Hôtel le papyrus-Marché pour l'achat de la ration du  prevenu"/>
    <x v="0"/>
    <x v="5"/>
    <n v="300"/>
    <n v="0.53481465106909443"/>
    <n v="560.94200000000001"/>
    <x v="12"/>
    <s v="RO-AU-D1"/>
    <s v="PALF"/>
    <s v="Wildcat 2025"/>
    <s v="CONGO"/>
    <m/>
    <m/>
    <m/>
  </r>
  <r>
    <d v="2025-08-19T00:00:00"/>
    <s v="Ration  du prevenu MANKOUSSOU Auzere à la maison d'arrêt de Sibiti/soir"/>
    <x v="12"/>
    <x v="5"/>
    <n v="1500"/>
    <n v="2.6740732553454722"/>
    <n v="560.94200000000001"/>
    <x v="12"/>
    <s v="RO-AU-D3"/>
    <s v="PALF"/>
    <s v="Wildcat 2025"/>
    <s v="CONGO"/>
    <m/>
    <m/>
    <m/>
  </r>
  <r>
    <d v="2025-08-19T00:00:00"/>
    <s v="Taxi-moto:Marché-Maison d'arrêt de Sibiti"/>
    <x v="0"/>
    <x v="5"/>
    <n v="300"/>
    <n v="0.53481465106909443"/>
    <n v="560.94200000000001"/>
    <x v="12"/>
    <s v="RO-AU-D1"/>
    <s v="PALF"/>
    <s v="Wildcat 2025"/>
    <s v="CONGO"/>
    <m/>
    <m/>
    <m/>
  </r>
  <r>
    <d v="2025-08-19T00:00:00"/>
    <s v="Taxi-moto:Maison d'arrêt de Sibiti-Hôtel le papyrus"/>
    <x v="0"/>
    <x v="5"/>
    <n v="300"/>
    <n v="0.53481465106909443"/>
    <n v="560.94200000000001"/>
    <x v="12"/>
    <s v="RO-AU-D1"/>
    <s v="PALF"/>
    <s v="Wildcat 2025"/>
    <s v="CONGO"/>
    <m/>
    <m/>
    <m/>
  </r>
  <r>
    <d v="2025-08-19T00:00:00"/>
    <s v="RODERLIN-CONGO Ration du 19 au 21/08/2025 à Sibiti (02 nuitées)"/>
    <x v="7"/>
    <x v="5"/>
    <n v="20000"/>
    <n v="35.654310071272967"/>
    <n v="560.94200000000001"/>
    <x v="12"/>
    <s v="RO-AU-D2"/>
    <s v="PALF"/>
    <s v="Wildcat 2025"/>
    <s v="CONGO"/>
    <m/>
    <m/>
    <m/>
  </r>
  <r>
    <d v="2025-08-19T00:00:00"/>
    <s v="Taxi: Bureau Agence Trans Bony de la Frontière"/>
    <x v="0"/>
    <x v="5"/>
    <n v="1000"/>
    <n v="1.7827155035636482"/>
    <n v="560.94200000000001"/>
    <x v="10"/>
    <s v="RM-AU-D1"/>
    <s v="PALF"/>
    <s v="Wildcat 2025"/>
    <s v="CONGO"/>
    <m/>
    <m/>
    <m/>
  </r>
  <r>
    <d v="2025-08-19T00:00:00"/>
    <s v="Taxi: Agence Trans Bony de la Frontière-Agence Trans Bony de Diata"/>
    <x v="0"/>
    <x v="5"/>
    <n v="1000"/>
    <n v="1.7827155035636482"/>
    <n v="560.94200000000001"/>
    <x v="10"/>
    <s v="RM-AU-D1"/>
    <s v="PALF"/>
    <s v="Wildcat 2025"/>
    <s v="CONGO"/>
    <m/>
    <m/>
    <m/>
  </r>
  <r>
    <d v="2025-08-19T00:00:00"/>
    <s v="Taxi: Agence Trans Bony de Diata-Bureau"/>
    <x v="0"/>
    <x v="5"/>
    <n v="1000"/>
    <n v="1.7827155035636482"/>
    <n v="560.94200000000001"/>
    <x v="10"/>
    <s v="RM-AU-D1"/>
    <s v="PALF"/>
    <s v="Wildcat 2025"/>
    <s v="CONGO"/>
    <m/>
    <m/>
    <m/>
  </r>
  <r>
    <d v="2025-08-19T00:00:00"/>
    <s v="Achat billet Brazzaville-Dolisie (Au nom de LOUNDOU Jean Romain)"/>
    <x v="0"/>
    <x v="5"/>
    <n v="9000"/>
    <n v="16.044439532072836"/>
    <n v="560.94200000000001"/>
    <x v="11"/>
    <s v="AB-AU-R3"/>
    <s v="PALF"/>
    <s v="Wildcat 2025"/>
    <s v="CONGO"/>
    <m/>
    <m/>
    <m/>
  </r>
  <r>
    <d v="2025-08-20T00:00:00"/>
    <s v="Maison-Bureau"/>
    <x v="0"/>
    <x v="0"/>
    <n v="1000"/>
    <n v="1.7827155035636482"/>
    <n v="560.94200000000001"/>
    <x v="0"/>
    <s v="DH-AU-D1"/>
    <s v="PALF"/>
    <s v="Wildcat 2025"/>
    <s v="CONGO"/>
    <m/>
    <m/>
    <m/>
  </r>
  <r>
    <d v="2025-08-20T00:00:00"/>
    <s v="Bureau-Maison"/>
    <x v="0"/>
    <x v="0"/>
    <n v="1000"/>
    <n v="1.7827155035636482"/>
    <n v="560.94200000000001"/>
    <x v="0"/>
    <s v="DH-AU-D1"/>
    <s v="PALF"/>
    <s v="Wildcat 2025"/>
    <s v="CONGO"/>
    <m/>
    <m/>
    <m/>
  </r>
  <r>
    <d v="2025-08-20T00:00:00"/>
    <s v="Taxi: Bureau - Charden Farell/transfert d'argent à G12 et IT87"/>
    <x v="0"/>
    <x v="1"/>
    <n v="500"/>
    <n v="0.89135775178182408"/>
    <n v="560.94200000000001"/>
    <x v="1"/>
    <s v="P-AU-D1"/>
    <s v="PALF"/>
    <s v="Wildcat 2025"/>
    <s v="CONGO"/>
    <m/>
    <m/>
    <m/>
  </r>
  <r>
    <d v="2025-08-20T00:00:00"/>
    <s v="Taxi: Charden Farell- Bureau/transferft d'argent"/>
    <x v="0"/>
    <x v="1"/>
    <n v="500"/>
    <n v="0.89135775178182408"/>
    <n v="560.94200000000001"/>
    <x v="1"/>
    <s v="P-AU-D1"/>
    <s v="PALF"/>
    <s v="Wildcat 2025"/>
    <s v="CONGO"/>
    <m/>
    <m/>
    <m/>
  </r>
  <r>
    <d v="2025-08-20T00:00:00"/>
    <s v="Frais de tansfert d'argent à G12 et IT87"/>
    <x v="11"/>
    <x v="1"/>
    <n v="3180"/>
    <n v="5.6690353013324017"/>
    <n v="560.94200000000001"/>
    <x v="1"/>
    <s v="CA-AU-R6"/>
    <s v="PALF"/>
    <s v="Wildcat 2025"/>
    <s v="CONGO"/>
    <m/>
    <m/>
    <m/>
  </r>
  <r>
    <d v="2025-08-20T00:00:00"/>
    <s v="Taxi tricycle hotel kb fils-hotel mithe,travail avec l'équipe"/>
    <x v="0"/>
    <x v="2"/>
    <n v="1000"/>
    <n v="1.7827155035636482"/>
    <n v="560.94200000000001"/>
    <x v="3"/>
    <s v="P29-AU-D1"/>
    <s v="PALF"/>
    <s v="Wildcat 2025"/>
    <s v="CONGO"/>
    <m/>
    <m/>
    <m/>
  </r>
  <r>
    <d v="2025-08-20T00:00:00"/>
    <s v="Taxi tricycle hotel mithe-hotel kb fils"/>
    <x v="0"/>
    <x v="2"/>
    <n v="1000"/>
    <n v="1.7827155035636482"/>
    <n v="560.94200000000001"/>
    <x v="3"/>
    <s v="P29-AU-D1"/>
    <s v="PALF"/>
    <s v="Wildcat 2025"/>
    <s v="CONGO"/>
    <m/>
    <m/>
    <m/>
  </r>
  <r>
    <d v="2025-08-20T00:00:00"/>
    <s v="Taxi tricycle hotel kb fils-hotel mithe,travail avec l'équipe"/>
    <x v="0"/>
    <x v="2"/>
    <n v="1000"/>
    <n v="1.7827155035636482"/>
    <n v="560.94200000000001"/>
    <x v="3"/>
    <s v="P29-AU-D1"/>
    <s v="PALF"/>
    <s v="Wildcat 2025"/>
    <s v="CONGO"/>
    <m/>
    <m/>
    <m/>
  </r>
  <r>
    <d v="2025-08-20T00:00:00"/>
    <s v="Taxi tricycle hotel mithe-hotel kb fils"/>
    <x v="0"/>
    <x v="2"/>
    <n v="1000"/>
    <n v="1.7827155035636482"/>
    <n v="560.94200000000001"/>
    <x v="3"/>
    <s v="P29-AU-D1"/>
    <s v="PALF"/>
    <s v="Wildcat 2025"/>
    <s v="CONGO"/>
    <m/>
    <m/>
    <m/>
  </r>
  <r>
    <d v="2025-08-20T00:00:00"/>
    <s v="Taxi moto : hotel KB fils - hotel mithe (reunion avec l'équipe)"/>
    <x v="0"/>
    <x v="2"/>
    <n v="500"/>
    <n v="0.89135775178182408"/>
    <n v="560.94200000000001"/>
    <x v="4"/>
    <s v="T73-AU-D1"/>
    <s v="PALF"/>
    <s v="Wildcat 2025"/>
    <s v="CONGO"/>
    <m/>
    <m/>
    <m/>
  </r>
  <r>
    <d v="2025-08-20T00:00:00"/>
    <s v="Taxi moto : hotel mithe - KB fils  (reunion avec l'équipe)"/>
    <x v="0"/>
    <x v="2"/>
    <n v="500"/>
    <n v="0.89135775178182408"/>
    <n v="560.94200000000001"/>
    <x v="4"/>
    <s v="T73-AU-D1"/>
    <s v="PALF"/>
    <s v="Wildcat 2025"/>
    <s v="CONGO"/>
    <m/>
    <m/>
    <m/>
  </r>
  <r>
    <d v="2025-08-20T00:00:00"/>
    <s v="Taxi moto : Hôtel - Marché/ Prospection"/>
    <x v="0"/>
    <x v="2"/>
    <n v="500"/>
    <n v="0.89135775178182408"/>
    <n v="560.94200000000001"/>
    <x v="5"/>
    <s v="IT87-AU-D1"/>
    <s v="PALF"/>
    <s v="Wildcat 2025"/>
    <s v="CONGO"/>
    <m/>
    <m/>
    <m/>
  </r>
  <r>
    <d v="2025-08-20T00:00:00"/>
    <s v="Achat boissons avec une cible"/>
    <x v="5"/>
    <x v="2"/>
    <n v="1500"/>
    <n v="2.6740732553454722"/>
    <n v="560.94200000000001"/>
    <x v="5"/>
    <s v="IT87-AU-D3"/>
    <s v="PALF"/>
    <s v="Wildcat 2025"/>
    <s v="CONGO"/>
    <m/>
    <m/>
    <m/>
  </r>
  <r>
    <d v="2025-08-20T00:00:00"/>
    <s v="Taxi moto : Marché - Centre ville/ Prospection"/>
    <x v="0"/>
    <x v="2"/>
    <n v="500"/>
    <n v="0.89135775178182408"/>
    <n v="560.94200000000001"/>
    <x v="5"/>
    <s v="IT87-AU-D1"/>
    <s v="PALF"/>
    <s v="Wildcat 2025"/>
    <s v="CONGO"/>
    <m/>
    <m/>
    <m/>
  </r>
  <r>
    <d v="2025-08-20T00:00:00"/>
    <s v="Taxi moto : Centre ville - Charden Farel/ Retrait budget"/>
    <x v="0"/>
    <x v="2"/>
    <n v="500"/>
    <n v="0.89135775178182408"/>
    <n v="560.94200000000001"/>
    <x v="5"/>
    <s v="IT87-AU-D1"/>
    <s v="PALF"/>
    <s v="Wildcat 2025"/>
    <s v="CONGO"/>
    <m/>
    <m/>
    <m/>
  </r>
  <r>
    <d v="2025-08-20T00:00:00"/>
    <s v="Taxi moto : Charden Farel - Avenue de l'Entente/ Prospection"/>
    <x v="0"/>
    <x v="2"/>
    <n v="500"/>
    <n v="0.89135775178182408"/>
    <n v="560.94200000000001"/>
    <x v="5"/>
    <s v="IT87-AU-D1"/>
    <s v="PALF"/>
    <s v="Wildcat 2025"/>
    <s v="CONGO"/>
    <m/>
    <m/>
    <m/>
  </r>
  <r>
    <d v="2025-08-20T00:00:00"/>
    <s v="Taxi moto : Avenue de l'entente - Hôtel/ Retour de prospection"/>
    <x v="0"/>
    <x v="2"/>
    <n v="500"/>
    <n v="0.89135775178182408"/>
    <n v="560.94200000000001"/>
    <x v="5"/>
    <s v="IT87-AU-D1"/>
    <s v="PALF"/>
    <s v="Wildcat 2025"/>
    <s v="CONGO"/>
    <m/>
    <m/>
    <m/>
  </r>
  <r>
    <d v="2025-08-20T00:00:00"/>
    <s v="Taxi: Hotel- quartier mvumvu"/>
    <x v="0"/>
    <x v="2"/>
    <n v="1000"/>
    <n v="1.7827155035636482"/>
    <n v="560.94200000000001"/>
    <x v="6"/>
    <s v="G12-AU-D1"/>
    <s v="PALF"/>
    <s v="Wildcat 2025"/>
    <s v="CONGO"/>
    <m/>
    <m/>
    <m/>
  </r>
  <r>
    <d v="2025-08-20T00:00:00"/>
    <s v="Taxi: marché mvumvu - fond de tié tié"/>
    <x v="0"/>
    <x v="2"/>
    <n v="1000"/>
    <n v="1.7827155035636482"/>
    <n v="560.94200000000001"/>
    <x v="6"/>
    <s v="G12-AU-D1"/>
    <s v="PALF"/>
    <s v="Wildcat 2025"/>
    <s v="CONGO"/>
    <m/>
    <m/>
    <m/>
  </r>
  <r>
    <d v="2025-08-20T00:00:00"/>
    <s v="Taxi : Fond tié tié - charden farell "/>
    <x v="0"/>
    <x v="2"/>
    <n v="1000"/>
    <n v="1.7827155035636482"/>
    <n v="560.94200000000001"/>
    <x v="6"/>
    <s v="G12-AU-D1"/>
    <s v="PALF"/>
    <s v="Wildcat 2025"/>
    <s v="CONGO"/>
    <m/>
    <m/>
    <m/>
  </r>
  <r>
    <d v="2025-08-20T00:00:00"/>
    <s v="Taxi: Charden farell- marché oui"/>
    <x v="0"/>
    <x v="2"/>
    <n v="1000"/>
    <n v="1.7827155035636482"/>
    <n v="560.94200000000001"/>
    <x v="6"/>
    <s v="G12-AU-D1"/>
    <s v="PALF"/>
    <s v="Wildcat 2025"/>
    <s v="CONGO"/>
    <m/>
    <m/>
    <m/>
  </r>
  <r>
    <d v="2025-08-20T00:00:00"/>
    <s v="Achat boisson 1 cible"/>
    <x v="5"/>
    <x v="2"/>
    <n v="1000"/>
    <n v="1.7827155035636482"/>
    <n v="560.94200000000001"/>
    <x v="6"/>
    <s v="G12-AU-D3"/>
    <s v="PALF"/>
    <s v="Wildcat 2025"/>
    <s v="CONGO"/>
    <m/>
    <m/>
    <m/>
  </r>
  <r>
    <d v="2025-08-20T00:00:00"/>
    <s v=" Taxi:Marché oui - hotel"/>
    <x v="0"/>
    <x v="2"/>
    <n v="1000"/>
    <n v="1.7827155035636482"/>
    <n v="560.94200000000001"/>
    <x v="6"/>
    <s v="G12-AU-D1"/>
    <s v="PALF"/>
    <s v="Wildcat 2025"/>
    <s v="CONGO"/>
    <m/>
    <m/>
    <m/>
  </r>
  <r>
    <d v="2025-08-20T00:00:00"/>
    <s v="ABRAHAM - CONGO Ration du 20 au 22/08/2025 à Dolisie (02 Nuitées)"/>
    <x v="7"/>
    <x v="5"/>
    <n v="20000"/>
    <n v="35.654310071272967"/>
    <n v="560.94200000000001"/>
    <x v="11"/>
    <s v="AB-AU-D2"/>
    <s v="PALF"/>
    <s v="Wildcat 2025"/>
    <s v="CONGO"/>
    <m/>
    <m/>
    <m/>
  </r>
  <r>
    <d v="2025-08-20T00:00:00"/>
    <s v="Taxi:Domicile-Agence Tranbony de La frontière/ Prendre le depart pour Dolisie"/>
    <x v="0"/>
    <x v="5"/>
    <n v="1000"/>
    <n v="1.7827155035636482"/>
    <n v="560.94200000000001"/>
    <x v="11"/>
    <s v="AB-AU-D1"/>
    <s v="PALF"/>
    <s v="Wildcat 2025"/>
    <s v="CONGO"/>
    <m/>
    <m/>
    <m/>
  </r>
  <r>
    <d v="2025-08-20T00:00:00"/>
    <s v="Taxi:Agence Transbony de Dolisie-Auberge Moukondo"/>
    <x v="0"/>
    <x v="5"/>
    <n v="1000"/>
    <n v="1.7827155035636482"/>
    <n v="560.94200000000001"/>
    <x v="11"/>
    <s v="AB-AU-D1"/>
    <s v="PALF"/>
    <s v="Wildcat 2025"/>
    <s v="CONGO"/>
    <m/>
    <m/>
    <m/>
  </r>
  <r>
    <d v="2025-08-20T00:00:00"/>
    <s v="Taxi:Auberge Moukondo-Maison d'arrêt de Dolisie"/>
    <x v="0"/>
    <x v="5"/>
    <n v="1000"/>
    <n v="1.7827155035636482"/>
    <n v="560.94200000000001"/>
    <x v="11"/>
    <s v="AB-AU-D1"/>
    <s v="PALF"/>
    <s v="Wildcat 2025"/>
    <s v="CONGO"/>
    <m/>
    <m/>
    <m/>
  </r>
  <r>
    <d v="2025-08-20T00:00:00"/>
    <s v="Ration/ Soir 5 détenus à la maison d'arrêt de Dolisie/ détenus visités: MBOUNGOU Dropsy, KISSAMBOU Yvon, PAMBOU Alain, BALENDA Jean Jacques, IVOUVOU"/>
    <x v="12"/>
    <x v="5"/>
    <n v="7500"/>
    <n v="13.370366276727362"/>
    <n v="560.94200000000001"/>
    <x v="11"/>
    <s v="AB-AU-D3"/>
    <s v="PALF"/>
    <s v="Wildcat 2025"/>
    <s v="CONGO"/>
    <m/>
    <m/>
    <m/>
  </r>
  <r>
    <d v="2025-08-20T00:00:00"/>
    <s v="Taxi:Maison d'arrêt de Dolisie-Auberge Moukondo"/>
    <x v="0"/>
    <x v="5"/>
    <n v="1000"/>
    <n v="1.7827155035636482"/>
    <n v="560.94200000000001"/>
    <x v="11"/>
    <s v="AB-AU-D1"/>
    <s v="PALF"/>
    <s v="Wildcat 2025"/>
    <s v="CONGO"/>
    <m/>
    <m/>
    <m/>
  </r>
  <r>
    <d v="2025-08-20T00:00:00"/>
    <s v="Taxi-moto:Hôtel le papyrus-Marché pour l'achat de la ration du  prevenu"/>
    <x v="0"/>
    <x v="5"/>
    <n v="300"/>
    <n v="0.53481465106909443"/>
    <n v="560.94200000000001"/>
    <x v="12"/>
    <s v="RO-AU-D1"/>
    <s v="PALF"/>
    <s v="Wildcat 2025"/>
    <s v="CONGO"/>
    <m/>
    <m/>
    <m/>
  </r>
  <r>
    <d v="2025-08-20T00:00:00"/>
    <s v="Tation du prevenu MANKOUSSOU Auzere à la maison d'arrêt de Sibiti/matin"/>
    <x v="12"/>
    <x v="5"/>
    <n v="1500"/>
    <n v="2.6740732553454722"/>
    <n v="560.94200000000001"/>
    <x v="12"/>
    <s v="RO-AU-D3"/>
    <s v="PALF"/>
    <s v="Wildcat 2025"/>
    <s v="CONGO"/>
    <m/>
    <m/>
    <m/>
  </r>
  <r>
    <d v="2025-08-20T00:00:00"/>
    <s v="Taxi-moto:Marché-Maison d'arrêt de Sibiti"/>
    <x v="0"/>
    <x v="5"/>
    <n v="300"/>
    <n v="0.53481465106909443"/>
    <n v="560.94200000000001"/>
    <x v="12"/>
    <s v="RO-AU-D1"/>
    <s v="PALF"/>
    <s v="Wildcat 2025"/>
    <s v="CONGO"/>
    <m/>
    <m/>
    <m/>
  </r>
  <r>
    <d v="2025-08-20T00:00:00"/>
    <s v="Taxi-moto:Maison d'arrêt de Sibiti-tGI pour la vérification des des expéditions "/>
    <x v="0"/>
    <x v="5"/>
    <n v="300"/>
    <n v="0.53481465106909443"/>
    <n v="560.94200000000001"/>
    <x v="12"/>
    <s v="RO-AU-D1"/>
    <s v="PALF"/>
    <s v="Wildcat 2025"/>
    <s v="CONGO"/>
    <m/>
    <m/>
    <m/>
  </r>
  <r>
    <d v="2025-08-20T00:00:00"/>
    <s v="Taxi-moto:TGI-Hotel le papyrus "/>
    <x v="0"/>
    <x v="5"/>
    <n v="300"/>
    <n v="0.53481465106909443"/>
    <n v="560.94200000000001"/>
    <x v="12"/>
    <s v="RO-AU-D1"/>
    <s v="PALF"/>
    <s v="Wildcat 2025"/>
    <s v="CONGO"/>
    <m/>
    <m/>
    <m/>
  </r>
  <r>
    <d v="2025-08-20T00:00:00"/>
    <s v="Taxi-moto:Hôtel le papyrus-Marché pour l'achat de la ration du  prevenu"/>
    <x v="0"/>
    <x v="5"/>
    <n v="300"/>
    <n v="0.53481465106909443"/>
    <n v="560.94200000000001"/>
    <x v="12"/>
    <s v="RO-AU-D1"/>
    <s v="PALF"/>
    <s v="Wildcat 2025"/>
    <s v="CONGO"/>
    <m/>
    <m/>
    <m/>
  </r>
  <r>
    <d v="2025-08-20T00:00:00"/>
    <s v="Ration du prevenu MANKOUSSOU Auzere à la maison d'arrêt de Sibiti/soir"/>
    <x v="12"/>
    <x v="5"/>
    <n v="1500"/>
    <n v="2.6740732553454722"/>
    <n v="560.94200000000001"/>
    <x v="12"/>
    <s v="RO-AU-D3"/>
    <s v="PALF"/>
    <s v="Wildcat 2025"/>
    <s v="CONGO"/>
    <m/>
    <m/>
    <m/>
  </r>
  <r>
    <d v="2025-08-20T00:00:00"/>
    <s v="Taxi-moto:Marché-Maison d'arrêt de Sibiti"/>
    <x v="0"/>
    <x v="5"/>
    <n v="300"/>
    <n v="0.53481465106909443"/>
    <n v="560.94200000000001"/>
    <x v="12"/>
    <s v="RO-AU-D1"/>
    <s v="PALF"/>
    <s v="Wildcat 2025"/>
    <s v="CONGO"/>
    <m/>
    <m/>
    <m/>
  </r>
  <r>
    <d v="2025-08-20T00:00:00"/>
    <s v="Taxi-moto:Maison d'arrêt de Sibiti-Hôtel le papyrus"/>
    <x v="0"/>
    <x v="5"/>
    <n v="300"/>
    <n v="0.53481465106909443"/>
    <n v="560.94200000000001"/>
    <x v="12"/>
    <s v="RO-AU-D1"/>
    <s v="PALF"/>
    <s v="Wildcat 2025"/>
    <s v="CONGO"/>
    <m/>
    <m/>
    <m/>
  </r>
  <r>
    <d v="2025-08-20T00:00:00"/>
    <s v="Taxi: Domicile-Agence Trans Bony de Diata"/>
    <x v="0"/>
    <x v="5"/>
    <n v="3000"/>
    <n v="5.3481465106909445"/>
    <n v="560.94200000000001"/>
    <x v="10"/>
    <s v="RM-AU-D1"/>
    <s v="PALF"/>
    <s v="Wildcat 2025"/>
    <s v="CONGO"/>
    <m/>
    <m/>
    <m/>
  </r>
  <r>
    <d v="2025-08-20T00:00:00"/>
    <s v="Taxi: Agence Trans Bony de Diata-Bureau"/>
    <x v="0"/>
    <x v="5"/>
    <n v="1000"/>
    <n v="1.7827155035636482"/>
    <n v="560.94200000000001"/>
    <x v="10"/>
    <s v="RM-AU-D1"/>
    <s v="PALF"/>
    <s v="Wildcat 2025"/>
    <s v="CONGO"/>
    <m/>
    <m/>
    <m/>
  </r>
  <r>
    <d v="2025-08-20T00:00:00"/>
    <s v="Taxi: Bureau-Agence Océan du Nord de Talangai"/>
    <x v="0"/>
    <x v="5"/>
    <n v="1500"/>
    <n v="2.6740732553454722"/>
    <n v="560.94200000000001"/>
    <x v="10"/>
    <s v="RM-AU-D1"/>
    <s v="PALF"/>
    <s v="Wildcat 2025"/>
    <s v="CONGO"/>
    <m/>
    <m/>
    <m/>
  </r>
  <r>
    <d v="2025-08-20T00:00:00"/>
    <s v="Taxi: Agence Océan du Nord de Talangai-Bureau"/>
    <x v="0"/>
    <x v="5"/>
    <n v="1500"/>
    <n v="2.6740732553454722"/>
    <n v="560.94200000000001"/>
    <x v="10"/>
    <s v="RM-AU-D1"/>
    <s v="PALF"/>
    <s v="Wildcat 2025"/>
    <s v="CONGO"/>
    <m/>
    <m/>
    <m/>
  </r>
  <r>
    <d v="2025-08-21T00:00:00"/>
    <s v="Maison-Bureau"/>
    <x v="0"/>
    <x v="0"/>
    <n v="1000"/>
    <n v="1.7827155035636482"/>
    <n v="560.94200000000001"/>
    <x v="0"/>
    <s v="DH-AU-D1"/>
    <s v="PALF"/>
    <s v="Wildcat 2025"/>
    <s v="CONGO"/>
    <m/>
    <m/>
    <m/>
  </r>
  <r>
    <d v="2025-08-21T00:00:00"/>
    <s v="Bureau-Maison"/>
    <x v="0"/>
    <x v="0"/>
    <n v="1000"/>
    <n v="1.7827155035636482"/>
    <n v="560.94200000000001"/>
    <x v="0"/>
    <s v="DH-AU-D1"/>
    <s v="PALF"/>
    <s v="Wildcat 2025"/>
    <s v="CONGO"/>
    <m/>
    <m/>
    <m/>
  </r>
  <r>
    <d v="2025-08-21T00:00:00"/>
    <s v="Taxi:  Bureau- Cabinet maitre LOCKO/remis de chèque du mois de Juin 2025"/>
    <x v="0"/>
    <x v="1"/>
    <n v="1000"/>
    <n v="1.7827155035636482"/>
    <n v="560.94200000000001"/>
    <x v="1"/>
    <s v="P-AU-D1"/>
    <s v="PALF"/>
    <s v="Wildcat 2025"/>
    <s v="CONGO"/>
    <m/>
    <m/>
    <m/>
  </r>
  <r>
    <d v="2025-08-21T00:00:00"/>
    <s v="Taxi:  Cabinet maitre LOCKO - Domicile/remis de chèque du mois de Juin  2025"/>
    <x v="0"/>
    <x v="1"/>
    <n v="1000"/>
    <n v="1.7827155035636482"/>
    <n v="560.94200000000001"/>
    <x v="1"/>
    <s v="P-AU-D1"/>
    <s v="PALF"/>
    <s v="Wildcat 2025"/>
    <s v="CONGO"/>
    <m/>
    <m/>
    <m/>
  </r>
  <r>
    <d v="2025-08-21T00:00:00"/>
    <s v="Taxi tricycle hotel kb fils-hotel mithe,travail avec l'équipe"/>
    <x v="0"/>
    <x v="2"/>
    <n v="1000"/>
    <n v="1.7827155035636482"/>
    <n v="560.94200000000001"/>
    <x v="3"/>
    <s v="P29-AU-D1"/>
    <s v="PALF"/>
    <s v="Wildcat 2025"/>
    <s v="CONGO"/>
    <m/>
    <m/>
    <m/>
  </r>
  <r>
    <d v="2025-08-21T00:00:00"/>
    <s v="Taxi tricycle hotel mithe-hotel kb fils"/>
    <x v="0"/>
    <x v="2"/>
    <n v="1000"/>
    <n v="1.7827155035636482"/>
    <n v="560.94200000000001"/>
    <x v="3"/>
    <s v="P29-AU-D1"/>
    <s v="PALF"/>
    <s v="Wildcat 2025"/>
    <s v="CONGO"/>
    <m/>
    <m/>
    <m/>
  </r>
  <r>
    <d v="2025-08-21T00:00:00"/>
    <s v="Taxi moto hotel kb fils-hotel mithe,travail avec l'équipe"/>
    <x v="0"/>
    <x v="2"/>
    <n v="500"/>
    <n v="0.89135775178182408"/>
    <n v="560.94200000000001"/>
    <x v="3"/>
    <s v="P29-AU-D1"/>
    <s v="PALF"/>
    <s v="Wildcat 2025"/>
    <s v="CONGO"/>
    <m/>
    <m/>
    <m/>
  </r>
  <r>
    <d v="2025-08-21T00:00:00"/>
    <s v="Taxi tricycle hotel mithe-hotel kb fils"/>
    <x v="0"/>
    <x v="2"/>
    <n v="1000"/>
    <n v="1.7827155035636482"/>
    <n v="560.94200000000001"/>
    <x v="3"/>
    <s v="P29-AU-D1"/>
    <s v="PALF"/>
    <s v="Wildcat 2025"/>
    <s v="CONGO"/>
    <m/>
    <m/>
    <m/>
  </r>
  <r>
    <d v="2025-08-21T00:00:00"/>
    <s v="Taxi moto : hotel KB fils - hotel mithe (reunion avec l'équipe)"/>
    <x v="0"/>
    <x v="2"/>
    <n v="500"/>
    <n v="0.89135775178182408"/>
    <n v="560.94200000000001"/>
    <x v="4"/>
    <s v="T73-AU-D1"/>
    <s v="PALF"/>
    <s v="Wildcat 2025"/>
    <s v="CONGO"/>
    <m/>
    <m/>
    <m/>
  </r>
  <r>
    <d v="2025-08-21T00:00:00"/>
    <s v="Taxi moto : hotel mithe - KB fils  (reunion avec l'équipe)"/>
    <x v="0"/>
    <x v="2"/>
    <n v="500"/>
    <n v="0.89135775178182408"/>
    <n v="560.94200000000001"/>
    <x v="4"/>
    <s v="T73-AU-D1"/>
    <s v="PALF"/>
    <s v="Wildcat 2025"/>
    <s v="CONGO"/>
    <m/>
    <m/>
    <m/>
  </r>
  <r>
    <d v="2025-08-21T00:00:00"/>
    <s v="IT87-CONGO Frais d'hôtel du 19 au 21/08/2025 à Djambala (02 nuitées)"/>
    <x v="7"/>
    <x v="2"/>
    <n v="30000"/>
    <n v="53.481465106909447"/>
    <n v="560.94200000000001"/>
    <x v="5"/>
    <s v="IT87-AU-R5"/>
    <s v="PALF"/>
    <s v="Wildcat 2025"/>
    <s v="CONGO"/>
    <m/>
    <m/>
    <m/>
  </r>
  <r>
    <d v="2025-08-21T00:00:00"/>
    <s v="Taxi moto : Hôtel - Parking/ Départ de Djambala pour Ngo"/>
    <x v="0"/>
    <x v="2"/>
    <n v="500"/>
    <n v="0.89135775178182408"/>
    <n v="560.94200000000001"/>
    <x v="5"/>
    <s v="IT87-AU-D1"/>
    <s v="PALF"/>
    <s v="Wildcat 2025"/>
    <s v="CONGO"/>
    <m/>
    <m/>
    <m/>
  </r>
  <r>
    <d v="2025-08-21T00:00:00"/>
    <s v="Achat billet Djambala - Ngo/ IT87"/>
    <x v="0"/>
    <x v="2"/>
    <n v="4000"/>
    <n v="7.1308620142545927"/>
    <n v="560.94200000000001"/>
    <x v="5"/>
    <s v="IT87-AU-R6"/>
    <s v="PALF"/>
    <s v="Wildcat 2025"/>
    <s v="CONGO"/>
    <m/>
    <m/>
    <m/>
  </r>
  <r>
    <d v="2025-08-21T00:00:00"/>
    <s v="Taxi moto : Parking - Hôtel Arc en ciel/ Arrivé à Ngo"/>
    <x v="0"/>
    <x v="2"/>
    <n v="500"/>
    <n v="0.89135775178182408"/>
    <n v="560.94200000000001"/>
    <x v="5"/>
    <s v="IT87-AU-D1"/>
    <s v="PALF"/>
    <s v="Wildcat 2025"/>
    <s v="CONGO"/>
    <m/>
    <m/>
    <m/>
  </r>
  <r>
    <d v="2025-08-21T00:00:00"/>
    <s v="Taxi moto : Hôtel - Marché/ Prospection"/>
    <x v="0"/>
    <x v="2"/>
    <n v="500"/>
    <n v="0.89135775178182408"/>
    <n v="560.94200000000001"/>
    <x v="5"/>
    <s v="IT87-AU-D1"/>
    <s v="PALF"/>
    <s v="Wildcat 2025"/>
    <s v="CONGO"/>
    <m/>
    <m/>
    <m/>
  </r>
  <r>
    <d v="2025-08-21T00:00:00"/>
    <s v="Taxi moto : Marché - Gare routière de Mpouya/ Prospection"/>
    <x v="0"/>
    <x v="2"/>
    <n v="500"/>
    <n v="0.89135775178182408"/>
    <n v="560.94200000000001"/>
    <x v="5"/>
    <s v="IT87-AU-D1"/>
    <s v="PALF"/>
    <s v="Wildcat 2025"/>
    <s v="CONGO"/>
    <m/>
    <m/>
    <m/>
  </r>
  <r>
    <d v="2025-08-21T00:00:00"/>
    <s v="Taxi moto : Gare routière de Mpouya à Ngo - Hôtel/ Retour de prospection"/>
    <x v="0"/>
    <x v="2"/>
    <n v="500"/>
    <n v="0.89135775178182408"/>
    <n v="560.94200000000001"/>
    <x v="5"/>
    <s v="IT87-AU-D1"/>
    <s v="PALF"/>
    <s v="Wildcat 2025"/>
    <s v="CONGO"/>
    <m/>
    <m/>
    <m/>
  </r>
  <r>
    <d v="2025-08-21T00:00:00"/>
    <s v="Taxi:Hotel - rafinerie"/>
    <x v="0"/>
    <x v="2"/>
    <n v="1000"/>
    <n v="1.7827155035636482"/>
    <n v="560.94200000000001"/>
    <x v="6"/>
    <s v="G12-AU-D1"/>
    <s v="PALF"/>
    <s v="Wildcat 2025"/>
    <s v="CONGO"/>
    <m/>
    <m/>
    <m/>
  </r>
  <r>
    <d v="2025-08-21T00:00:00"/>
    <s v="Achat boisson 1 cible"/>
    <x v="5"/>
    <x v="2"/>
    <n v="1000"/>
    <n v="1.7827155035636482"/>
    <n v="560.94200000000001"/>
    <x v="6"/>
    <s v="G12-AU-D3"/>
    <s v="PALF"/>
    <s v="Wildcat 2025"/>
    <s v="CONGO"/>
    <m/>
    <m/>
    <m/>
  </r>
  <r>
    <d v="2025-08-21T00:00:00"/>
    <s v="Taxi:Rafinerie - ngoyo"/>
    <x v="0"/>
    <x v="2"/>
    <n v="1000"/>
    <n v="1.7827155035636482"/>
    <n v="560.94200000000001"/>
    <x v="6"/>
    <s v="G12-AU-D1"/>
    <s v="PALF"/>
    <s v="Wildcat 2025"/>
    <s v="CONGO"/>
    <m/>
    <m/>
    <m/>
  </r>
  <r>
    <d v="2025-08-21T00:00:00"/>
    <s v="Taxi: Ngoyo - hotel"/>
    <x v="0"/>
    <x v="2"/>
    <n v="1000"/>
    <n v="1.7827155035636482"/>
    <n v="560.94200000000001"/>
    <x v="6"/>
    <s v="G12-AU-D1"/>
    <s v="PALF"/>
    <s v="Wildcat 2025"/>
    <s v="CONGO"/>
    <m/>
    <m/>
    <m/>
  </r>
  <r>
    <d v="2025-08-21T00:00:00"/>
    <s v="Taxi: Auberge Moukondo-Maison d'arrêt de Dolisie"/>
    <x v="0"/>
    <x v="5"/>
    <n v="1000"/>
    <n v="1.7827155035636482"/>
    <n v="560.94200000000001"/>
    <x v="11"/>
    <s v="AB-AU-D1"/>
    <s v="PALF"/>
    <s v="Wildcat 2025"/>
    <s v="CONGO"/>
    <m/>
    <m/>
    <m/>
  </r>
  <r>
    <d v="2025-08-21T00:00:00"/>
    <s v="Ration/matin 5 détenus à la maison d'arrêt de Dolisie/ détenus visités: MBOUNGOU Dropsy, KISSAMBOU Yvon, PAMBOU Alain, BALENDA Jean Jacques, IVOUVOU"/>
    <x v="12"/>
    <x v="5"/>
    <n v="7500"/>
    <n v="13.370366276727362"/>
    <n v="560.94200000000001"/>
    <x v="11"/>
    <s v="AB-AU-D3"/>
    <s v="PALF"/>
    <s v="Wildcat 2025"/>
    <s v="CONGO"/>
    <m/>
    <m/>
    <m/>
  </r>
  <r>
    <d v="2025-08-21T00:00:00"/>
    <s v="Taxi:Maison d'arrêt de Dolisie-Auberge Moukondo"/>
    <x v="0"/>
    <x v="5"/>
    <n v="1000"/>
    <n v="1.7827155035636482"/>
    <n v="560.94200000000001"/>
    <x v="11"/>
    <s v="AB-AU-D1"/>
    <s v="PALF"/>
    <s v="Wildcat 2025"/>
    <s v="CONGO"/>
    <m/>
    <m/>
    <m/>
  </r>
  <r>
    <d v="2025-08-21T00:00:00"/>
    <s v="Taxi: Auberge Moukondo-Maison d'arrêt de Dolisie"/>
    <x v="0"/>
    <x v="5"/>
    <n v="1000"/>
    <n v="1.7827155035636482"/>
    <n v="560.94200000000001"/>
    <x v="11"/>
    <s v="AB-AU-D1"/>
    <s v="PALF"/>
    <s v="Wildcat 2025"/>
    <s v="CONGO"/>
    <m/>
    <m/>
    <m/>
  </r>
  <r>
    <d v="2025-08-21T00:00:00"/>
    <s v="Ration/soir 5 détenus à la maison d'arrêt de Dolisie/ détenus visités: MBOUNGOU Dropsy, KISSAMBOU Yvon, PAMBOU Alain, BALENDA Jean Jacques, IVOUVOU"/>
    <x v="12"/>
    <x v="5"/>
    <n v="7500"/>
    <n v="13.370366276727362"/>
    <n v="560.94200000000001"/>
    <x v="11"/>
    <s v="AB-AU-D3"/>
    <s v="PALF"/>
    <s v="Wildcat 2025"/>
    <s v="CONGO"/>
    <m/>
    <m/>
    <m/>
  </r>
  <r>
    <d v="2025-08-21T00:00:00"/>
    <s v="Taxi:Maison d'arrêt de Dolisie-Agence Transbony de Dolisie/Achat billet Dolisie-Brazzaville"/>
    <x v="0"/>
    <x v="5"/>
    <n v="1000"/>
    <n v="1.7827155035636482"/>
    <n v="560.94200000000001"/>
    <x v="11"/>
    <s v="AB-AU-D1"/>
    <s v="PALF"/>
    <s v="Wildcat 2025"/>
    <s v="CONGO"/>
    <m/>
    <m/>
    <m/>
  </r>
  <r>
    <d v="2025-08-21T00:00:00"/>
    <s v="Taxi:Agence Transbony de Dolisie-Auberge Moukondo"/>
    <x v="0"/>
    <x v="5"/>
    <n v="1000"/>
    <n v="1.7827155035636482"/>
    <n v="560.94200000000001"/>
    <x v="11"/>
    <s v="AB-AU-D1"/>
    <s v="PALF"/>
    <s v="Wildcat 2025"/>
    <s v="CONGO"/>
    <m/>
    <m/>
    <m/>
  </r>
  <r>
    <d v="2025-08-21T00:00:00"/>
    <s v="RODERLIN-CONGO Frais d'hôtel du 19 au 21/08/2025 à Sibiti (02 nuitées)"/>
    <x v="7"/>
    <x v="5"/>
    <n v="30000"/>
    <n v="53.481465106909447"/>
    <n v="560.94200000000001"/>
    <x v="12"/>
    <s v="RO-AU-R4"/>
    <s v="PALF"/>
    <s v="Wildcat 2025"/>
    <s v="CONGO"/>
    <m/>
    <m/>
    <m/>
  </r>
  <r>
    <d v="2025-08-21T00:00:00"/>
    <s v="Taxi-moto:Hôtel le papyrus-La garre de Sibiti"/>
    <x v="0"/>
    <x v="5"/>
    <n v="500"/>
    <n v="0.89135775178182408"/>
    <n v="560.94200000000001"/>
    <x v="12"/>
    <s v="RO-AU-D1"/>
    <s v="PALF"/>
    <s v="Wildcat 2025"/>
    <s v="CONGO"/>
    <m/>
    <m/>
    <m/>
  </r>
  <r>
    <d v="2025-08-21T00:00:00"/>
    <s v=" Achat billet Sibiti-Nkayi/ Roderlin"/>
    <x v="0"/>
    <x v="5"/>
    <n v="5000"/>
    <n v="8.9135775178182417"/>
    <n v="560.94200000000001"/>
    <x v="12"/>
    <s v="RO-AU-R5"/>
    <s v="PALF"/>
    <s v="Wildcat 2025"/>
    <s v="CONGO"/>
    <m/>
    <m/>
    <m/>
  </r>
  <r>
    <d v="2025-08-21T00:00:00"/>
    <s v=" Achat billet Nkayi-Brazzaville/ Roderlin "/>
    <x v="0"/>
    <x v="5"/>
    <n v="7000"/>
    <n v="12.479008524945538"/>
    <n v="560.94200000000001"/>
    <x v="12"/>
    <s v="RO-AU-R6"/>
    <s v="PALF"/>
    <s v="Wildcat 2025"/>
    <s v="CONGO"/>
    <m/>
    <m/>
    <m/>
  </r>
  <r>
    <d v="2025-08-21T00:00:00"/>
    <s v="Taxi:Agence trans bony de Kintélé-Domicile "/>
    <x v="0"/>
    <x v="5"/>
    <n v="1000"/>
    <n v="1.7827155035636482"/>
    <n v="560.94200000000001"/>
    <x v="12"/>
    <s v="RO-AU-D1"/>
    <s v="PALF"/>
    <s v="Wildcat 2025"/>
    <s v="CONGO"/>
    <m/>
    <m/>
    <m/>
  </r>
  <r>
    <d v="2025-08-22T00:00:00"/>
    <s v="Achat billet Dolisie-Brazzaville/Abraham"/>
    <x v="0"/>
    <x v="5"/>
    <n v="8000"/>
    <n v="14.261724028509185"/>
    <n v="560.94200000000001"/>
    <x v="11"/>
    <s v="AB-AU-R4"/>
    <s v="PALF"/>
    <s v="Wildcat 2025"/>
    <s v="CONGO"/>
    <m/>
    <m/>
    <m/>
  </r>
  <r>
    <d v="2025-08-22T00:00:00"/>
    <s v="Maison-Bureau"/>
    <x v="0"/>
    <x v="0"/>
    <n v="1000"/>
    <n v="1.7827155035636482"/>
    <n v="560.94200000000001"/>
    <x v="0"/>
    <s v="DH-AU-D1"/>
    <s v="PALF"/>
    <s v="Wildcat 2025"/>
    <s v="CONGO"/>
    <m/>
    <m/>
    <m/>
  </r>
  <r>
    <d v="2025-08-22T00:00:00"/>
    <s v="Bureau -Maison"/>
    <x v="0"/>
    <x v="0"/>
    <n v="1000"/>
    <n v="1.7827155035636482"/>
    <n v="560.94200000000001"/>
    <x v="0"/>
    <s v="DH-AU-D1"/>
    <s v="PALF"/>
    <s v="Wildcat 2025"/>
    <s v="CONGO"/>
    <m/>
    <m/>
    <m/>
  </r>
  <r>
    <d v="2025-08-22T00:00:00"/>
    <s v="Taxi moto: Hôtel Mithé-DDEF pour rencontre avec le DD par intérim"/>
    <x v="0"/>
    <x v="5"/>
    <n v="500"/>
    <n v="0.89135775178182408"/>
    <n v="560.94200000000001"/>
    <x v="8"/>
    <s v="CR-AU-D1"/>
    <s v="PALF"/>
    <s v="Wildcat 2025"/>
    <s v="CONGO"/>
    <m/>
    <m/>
    <m/>
  </r>
  <r>
    <d v="2025-08-22T00:00:00"/>
    <s v="Taxi moto: DDEF-Parquet pour rencontre avec le Procureur."/>
    <x v="0"/>
    <x v="5"/>
    <n v="500"/>
    <n v="0.89135775178182408"/>
    <n v="560.94200000000001"/>
    <x v="8"/>
    <s v="CR-AU-D1"/>
    <s v="PALF"/>
    <s v="Wildcat 2025"/>
    <s v="CONGO"/>
    <m/>
    <m/>
    <m/>
  </r>
  <r>
    <d v="2025-08-22T00:00:00"/>
    <s v="Taxi moto: Gendarmerie-Hôtel Mithé"/>
    <x v="0"/>
    <x v="5"/>
    <n v="500"/>
    <n v="0.89135775178182408"/>
    <n v="560.94200000000001"/>
    <x v="8"/>
    <s v="CR-AU-D1"/>
    <s v="PALF"/>
    <s v="Wildcat 2025"/>
    <s v="CONGO"/>
    <m/>
    <m/>
    <m/>
  </r>
  <r>
    <d v="2025-08-22T00:00:00"/>
    <s v="Taxi:  Bureau-Banque BCI/Appro caisse"/>
    <x v="0"/>
    <x v="1"/>
    <n v="1000"/>
    <n v="1.7827155035636482"/>
    <n v="560.94200000000001"/>
    <x v="1"/>
    <s v="P-AU-D1"/>
    <s v="PALF"/>
    <s v="Wildcat 2025"/>
    <s v="CONGO"/>
    <m/>
    <m/>
    <m/>
  </r>
  <r>
    <d v="2025-08-22T00:00:00"/>
    <s v="Taxi: Banque BCI- Charden farell/ transfert d'argent "/>
    <x v="0"/>
    <x v="1"/>
    <n v="1000"/>
    <n v="1.7827155035636482"/>
    <n v="560.94200000000001"/>
    <x v="1"/>
    <s v="P-AU-D1"/>
    <s v="PALF"/>
    <s v="Wildcat 2025"/>
    <s v="CONGO"/>
    <m/>
    <m/>
    <m/>
  </r>
  <r>
    <d v="2025-08-22T00:00:00"/>
    <s v="Taxi: Charden Farell- Bureau/ Transfert d'argent"/>
    <x v="0"/>
    <x v="1"/>
    <n v="500"/>
    <n v="0.89135775178182408"/>
    <n v="560.94200000000001"/>
    <x v="1"/>
    <s v="P-AU-D1"/>
    <s v="PALF"/>
    <s v="Wildcat 2025"/>
    <s v="CONGO"/>
    <m/>
    <m/>
    <m/>
  </r>
  <r>
    <d v="2025-08-22T00:00:00"/>
    <s v="Taxi: Bureau - Charden Farell/ verification des fonds envoyer a impfondo"/>
    <x v="0"/>
    <x v="1"/>
    <n v="500"/>
    <n v="0.89135775178182408"/>
    <n v="560.94200000000001"/>
    <x v="1"/>
    <s v="P-AU-D1"/>
    <s v="PALF"/>
    <s v="Wildcat 2025"/>
    <s v="CONGO"/>
    <m/>
    <m/>
    <m/>
  </r>
  <r>
    <d v="2025-08-22T00:00:00"/>
    <s v="Taxi: Charden Farell- Bureau/verification de fond envoyer à Impfondo"/>
    <x v="0"/>
    <x v="1"/>
    <n v="500"/>
    <n v="0.89135775178182408"/>
    <n v="560.94200000000001"/>
    <x v="1"/>
    <s v="P-AU-D1"/>
    <s v="PALF"/>
    <s v="Wildcat 2025"/>
    <s v="CONGO"/>
    <m/>
    <m/>
    <m/>
  </r>
  <r>
    <d v="2025-08-22T00:00:00"/>
    <s v="Frais de tansfert d'argent à crépin, Donald-Roméo, Evariste et P29"/>
    <x v="11"/>
    <x v="1"/>
    <n v="31890"/>
    <n v="56.850797408644745"/>
    <n v="560.94200000000001"/>
    <x v="1"/>
    <s v="CA-AU-R8"/>
    <s v="PALF"/>
    <s v="Wildcat 2025"/>
    <s v="CONGO"/>
    <m/>
    <m/>
    <m/>
  </r>
  <r>
    <d v="2025-08-22T00:00:00"/>
    <s v="Taxi tricycle hotel-cf,retrait des fonds,problème de connexion"/>
    <x v="0"/>
    <x v="2"/>
    <n v="1000"/>
    <n v="1.7827155035636482"/>
    <n v="560.94200000000001"/>
    <x v="3"/>
    <s v="P29-AU-D1"/>
    <s v="PALF"/>
    <s v="Wildcat 2025"/>
    <s v="CONGO"/>
    <m/>
    <m/>
    <m/>
  </r>
  <r>
    <d v="2025-08-22T00:00:00"/>
    <s v="Taxi tricycle cf-hotel"/>
    <x v="0"/>
    <x v="2"/>
    <n v="1000"/>
    <n v="1.7827155035636482"/>
    <n v="560.94200000000001"/>
    <x v="3"/>
    <s v="P29-AU-D1"/>
    <s v="PALF"/>
    <s v="Wildcat 2025"/>
    <s v="CONGO"/>
    <m/>
    <m/>
    <m/>
  </r>
  <r>
    <d v="2025-08-22T00:00:00"/>
    <s v="Taxi tricycle hotel-cf,retrait des fonds"/>
    <x v="0"/>
    <x v="2"/>
    <n v="1000"/>
    <n v="1.7827155035636482"/>
    <n v="560.94200000000001"/>
    <x v="3"/>
    <s v="P29-AU-D1"/>
    <s v="PALF"/>
    <s v="Wildcat 2025"/>
    <s v="CONGO"/>
    <m/>
    <m/>
    <m/>
  </r>
  <r>
    <d v="2025-08-22T00:00:00"/>
    <s v="Taxi tricycle cf-hotel"/>
    <x v="0"/>
    <x v="2"/>
    <n v="1000"/>
    <n v="1.7827155035636482"/>
    <n v="560.94200000000001"/>
    <x v="3"/>
    <s v="P29-AU-D1"/>
    <s v="PALF"/>
    <s v="Wildcat 2025"/>
    <s v="CONGO"/>
    <m/>
    <m/>
    <m/>
  </r>
  <r>
    <d v="2025-08-22T00:00:00"/>
    <s v="Taxi moto hotel kb fils-hotel mithe,travail avec l'équipe"/>
    <x v="0"/>
    <x v="2"/>
    <n v="500"/>
    <n v="0.89135775178182408"/>
    <n v="560.94200000000001"/>
    <x v="3"/>
    <s v="P29-AU-D1"/>
    <s v="PALF"/>
    <s v="Wildcat 2025"/>
    <s v="CONGO"/>
    <m/>
    <m/>
    <m/>
  </r>
  <r>
    <d v="2025-08-22T00:00:00"/>
    <s v="Taxi tricycle hotel mithe-hotel kb fils"/>
    <x v="0"/>
    <x v="2"/>
    <n v="1000"/>
    <n v="1.7827155035636482"/>
    <n v="560.94200000000001"/>
    <x v="3"/>
    <s v="P29-AU-D1"/>
    <s v="PALF"/>
    <s v="Wildcat 2025"/>
    <s v="CONGO"/>
    <m/>
    <m/>
    <m/>
  </r>
  <r>
    <d v="2025-08-22T00:00:00"/>
    <s v="Taxi moto hotel kb fils-hotel mithe,travail avec l'équipe"/>
    <x v="0"/>
    <x v="2"/>
    <n v="500"/>
    <n v="0.89135775178182408"/>
    <n v="560.94200000000001"/>
    <x v="3"/>
    <s v="P29-AU-D1"/>
    <s v="PALF"/>
    <s v="Wildcat 2025"/>
    <s v="CONGO"/>
    <m/>
    <m/>
    <m/>
  </r>
  <r>
    <d v="2025-08-22T00:00:00"/>
    <s v="Taxi tricycle hotel mithe-hotel kb fils"/>
    <x v="0"/>
    <x v="2"/>
    <n v="1000"/>
    <n v="1.7827155035636482"/>
    <n v="560.94200000000001"/>
    <x v="3"/>
    <s v="P29-AU-D1"/>
    <s v="PALF"/>
    <s v="Wildcat 2025"/>
    <s v="CONGO"/>
    <m/>
    <m/>
    <m/>
  </r>
  <r>
    <d v="2025-08-22T00:00:00"/>
    <s v="Taxi moto : hotel KB fils - hotel mithe (reunion avec l'équipe)"/>
    <x v="0"/>
    <x v="2"/>
    <n v="500"/>
    <n v="0.89135775178182408"/>
    <n v="560.94200000000001"/>
    <x v="4"/>
    <s v="T73-AU-D1"/>
    <s v="PALF"/>
    <s v="Wildcat 2025"/>
    <s v="CONGO"/>
    <m/>
    <m/>
    <m/>
  </r>
  <r>
    <d v="2025-08-22T00:00:00"/>
    <s v="Taxi moto : hotel mithe - KB fils  (reunion avec l'équipe)"/>
    <x v="0"/>
    <x v="2"/>
    <n v="500"/>
    <n v="0.89135775178182408"/>
    <n v="560.94200000000001"/>
    <x v="4"/>
    <s v="T73-AU-D1"/>
    <s v="PALF"/>
    <s v="Wildcat 2025"/>
    <s v="CONGO"/>
    <m/>
    <m/>
    <m/>
  </r>
  <r>
    <d v="2025-08-22T00:00:00"/>
    <s v="Taxi moto : Hôtel - N2/ Prospection"/>
    <x v="0"/>
    <x v="2"/>
    <n v="500"/>
    <n v="0.89135775178182408"/>
    <n v="560.94200000000001"/>
    <x v="5"/>
    <s v="IT87-AU-D1"/>
    <s v="PALF"/>
    <s v="Wildcat 2025"/>
    <s v="CONGO"/>
    <m/>
    <m/>
    <m/>
  </r>
  <r>
    <d v="2025-08-22T00:00:00"/>
    <s v="Taxi moto : N2 - Marché/ Rencontre avec la cible"/>
    <x v="0"/>
    <x v="2"/>
    <n v="500"/>
    <n v="0.89135775178182408"/>
    <n v="560.94200000000001"/>
    <x v="5"/>
    <s v="IT87-AU-D1"/>
    <s v="PALF"/>
    <s v="Wildcat 2025"/>
    <s v="CONGO"/>
    <m/>
    <m/>
    <m/>
  </r>
  <r>
    <d v="2025-08-22T00:00:00"/>
    <s v="Achat snacks avec la cible"/>
    <x v="5"/>
    <x v="2"/>
    <n v="2000"/>
    <n v="3.5654310071272963"/>
    <n v="560.94200000000001"/>
    <x v="5"/>
    <s v="IT87-AU-D3"/>
    <s v="PALF"/>
    <s v="Wildcat 2025"/>
    <s v="CONGO"/>
    <m/>
    <m/>
    <m/>
  </r>
  <r>
    <d v="2025-08-22T00:00:00"/>
    <s v="Taxi moto : Marché - Avenue Omiere/ Prospection"/>
    <x v="0"/>
    <x v="2"/>
    <n v="500"/>
    <n v="0.89135775178182408"/>
    <n v="560.94200000000001"/>
    <x v="5"/>
    <s v="IT87-AU-D1"/>
    <s v="PALF"/>
    <s v="Wildcat 2025"/>
    <s v="CONGO"/>
    <m/>
    <m/>
    <m/>
  </r>
  <r>
    <d v="2025-08-22T00:00:00"/>
    <s v="Taxi moto : Avenue Omiere - Ecole primaire/ Prospection"/>
    <x v="0"/>
    <x v="2"/>
    <n v="500"/>
    <n v="0.89135775178182408"/>
    <n v="560.94200000000001"/>
    <x v="5"/>
    <s v="IT87-AU-D1"/>
    <s v="PALF"/>
    <s v="Wildcat 2025"/>
    <s v="CONGO"/>
    <m/>
    <m/>
    <m/>
  </r>
  <r>
    <d v="2025-08-22T00:00:00"/>
    <s v="Taxi moto : Ecole primaire Joseph - Hôtel/ Retour de prospection"/>
    <x v="0"/>
    <x v="2"/>
    <n v="500"/>
    <n v="0.89135775178182408"/>
    <n v="560.94200000000001"/>
    <x v="5"/>
    <s v="IT87-AU-D1"/>
    <s v="PALF"/>
    <s v="Wildcat 2025"/>
    <s v="CONGO"/>
    <m/>
    <m/>
    <m/>
  </r>
  <r>
    <d v="2025-08-22T00:00:00"/>
    <s v="Taxi: Hotel -gare routière"/>
    <x v="0"/>
    <x v="2"/>
    <n v="1000"/>
    <n v="1.7827155035636482"/>
    <n v="560.94200000000001"/>
    <x v="6"/>
    <s v="G12-AU-D1"/>
    <s v="PALF"/>
    <s v="Wildcat 2025"/>
    <s v="CONGO"/>
    <m/>
    <m/>
    <m/>
  </r>
  <r>
    <d v="2025-08-22T00:00:00"/>
    <s v="G12- CONGO Achat billet Pointe Noire - Nzassi "/>
    <x v="0"/>
    <x v="2"/>
    <n v="3000"/>
    <n v="5.3481465106909445"/>
    <n v="560.94200000000001"/>
    <x v="6"/>
    <s v="G12-AU-R5"/>
    <s v="PALF"/>
    <s v="Wildcat 2025"/>
    <s v="CONGO"/>
    <m/>
    <m/>
    <m/>
  </r>
  <r>
    <d v="2025-08-22T00:00:00"/>
    <s v="Taxi : gare routière - zone de l'hopital"/>
    <x v="0"/>
    <x v="2"/>
    <n v="500"/>
    <n v="0.89135775178182408"/>
    <n v="560.94200000000001"/>
    <x v="6"/>
    <s v="G12-AU-D1"/>
    <s v="PALF"/>
    <s v="Wildcat 2025"/>
    <s v="CONGO"/>
    <m/>
    <m/>
    <m/>
  </r>
  <r>
    <d v="2025-08-22T00:00:00"/>
    <s v="Taxi : Hopital- marché"/>
    <x v="0"/>
    <x v="2"/>
    <n v="500"/>
    <n v="0.89135775178182408"/>
    <n v="560.94200000000001"/>
    <x v="6"/>
    <s v="G12-AU-D1"/>
    <s v="PALF"/>
    <s v="Wildcat 2025"/>
    <s v="CONGO"/>
    <m/>
    <m/>
    <m/>
  </r>
  <r>
    <d v="2025-08-22T00:00:00"/>
    <s v="Achat boisson 1 cible"/>
    <x v="5"/>
    <x v="2"/>
    <n v="1000"/>
    <n v="1.7827155035636482"/>
    <n v="560.94200000000001"/>
    <x v="6"/>
    <s v="G12-AU-D3"/>
    <s v="PALF"/>
    <s v="Wildcat 2025"/>
    <s v="CONGO"/>
    <m/>
    <m/>
    <m/>
  </r>
  <r>
    <d v="2025-08-22T00:00:00"/>
    <s v="Taxi: Marché - gare routière "/>
    <x v="0"/>
    <x v="2"/>
    <n v="500"/>
    <n v="0.89135775178182408"/>
    <n v="560.94200000000001"/>
    <x v="6"/>
    <s v="G12-AU-D1"/>
    <s v="PALF"/>
    <s v="Wildcat 2025"/>
    <s v="CONGO"/>
    <m/>
    <m/>
    <m/>
  </r>
  <r>
    <d v="2025-08-22T00:00:00"/>
    <s v="G12-CONGO Achat billet Nzassi - Pointe Noire"/>
    <x v="0"/>
    <x v="2"/>
    <n v="3000"/>
    <n v="5.3481465106909445"/>
    <n v="560.94200000000001"/>
    <x v="6"/>
    <s v="G12-AU-R6"/>
    <s v="PALF"/>
    <s v="Wildcat 2025"/>
    <s v="CONGO"/>
    <m/>
    <m/>
    <m/>
  </r>
  <r>
    <d v="2025-08-22T00:00:00"/>
    <s v="Taxi: gare routière - hotel"/>
    <x v="0"/>
    <x v="2"/>
    <n v="500"/>
    <n v="0.89135775178182408"/>
    <n v="560.94200000000001"/>
    <x v="6"/>
    <s v="G12-AU-D1"/>
    <s v="PALF"/>
    <s v="Wildcat 2025"/>
    <s v="CONGO"/>
    <m/>
    <m/>
    <m/>
  </r>
  <r>
    <d v="2025-08-22T00:00:00"/>
    <s v="ABRAHAM - CONGO frais d'Hôtel du 20 au 22/08/2025 à Dolisie (02 Nuitées)"/>
    <x v="7"/>
    <x v="5"/>
    <n v="30000"/>
    <n v="53.481465106909447"/>
    <n v="560.94200000000001"/>
    <x v="11"/>
    <s v="AB-AU-R5"/>
    <s v="PALF"/>
    <s v="Wildcat 2025"/>
    <s v="CONGO"/>
    <m/>
    <m/>
    <m/>
  </r>
  <r>
    <d v="2025-08-22T00:00:00"/>
    <s v="Taxi:Auberge Moukondo-Agence Transbony Dolisie"/>
    <x v="0"/>
    <x v="5"/>
    <n v="1000"/>
    <n v="1.7827155035636482"/>
    <n v="560.94200000000001"/>
    <x v="11"/>
    <s v="AB-AU-D1"/>
    <s v="PALF"/>
    <s v="Wildcat 2025"/>
    <s v="CONGO"/>
    <m/>
    <m/>
    <m/>
  </r>
  <r>
    <d v="2025-08-22T00:00:00"/>
    <s v="Taxi:Agence Transbony Moungali-Domicile"/>
    <x v="0"/>
    <x v="5"/>
    <n v="2000"/>
    <n v="3.5654310071272963"/>
    <n v="560.94200000000001"/>
    <x v="11"/>
    <s v="AB-AU-D1"/>
    <s v="PALF"/>
    <s v="Wildcat 2025"/>
    <s v="CONGO"/>
    <m/>
    <m/>
    <m/>
  </r>
  <r>
    <d v="2025-08-22T00:00:00"/>
    <s v="Achat carburant groupe electrogène Bureau et le frais de recharge"/>
    <x v="8"/>
    <x v="1"/>
    <n v="68500"/>
    <n v="122.11601199410991"/>
    <n v="560.94200000000001"/>
    <x v="12"/>
    <s v="CA-AU-R7"/>
    <s v="PALF"/>
    <s v="Wildcat 2025"/>
    <s v="CONGO"/>
    <m/>
    <m/>
    <m/>
  </r>
  <r>
    <d v="2025-08-22T00:00:00"/>
    <s v="Taxi moto Hôtel-DDEF/ Rencontrer le DD"/>
    <x v="9"/>
    <x v="5"/>
    <n v="500"/>
    <n v="0.89135775178182408"/>
    <n v="560.94200000000001"/>
    <x v="9"/>
    <s v="DR-AU-D1"/>
    <s v="PALF"/>
    <s v="Wildcat 2025"/>
    <s v="CONGO"/>
    <m/>
    <m/>
    <m/>
  </r>
  <r>
    <d v="2025-08-22T00:00:00"/>
    <s v="Taxi moto DDEF-TGI/ Rencontrer le Procureur "/>
    <x v="9"/>
    <x v="5"/>
    <n v="500"/>
    <n v="0.89135775178182408"/>
    <n v="560.94200000000001"/>
    <x v="9"/>
    <s v="DR-AU-D1"/>
    <s v="PALF"/>
    <s v="Wildcat 2025"/>
    <s v="CONGO"/>
    <m/>
    <m/>
    <m/>
  </r>
  <r>
    <d v="2025-08-22T00:00:00"/>
    <s v="Taxi moto Région de gendarmerie-Hôtel Mithé"/>
    <x v="9"/>
    <x v="5"/>
    <n v="500"/>
    <n v="0.89135775178182408"/>
    <n v="560.94200000000001"/>
    <x v="9"/>
    <s v="DR-AU-D1"/>
    <s v="PALF"/>
    <s v="Wildcat 2025"/>
    <s v="CONGO"/>
    <m/>
    <m/>
    <m/>
  </r>
  <r>
    <d v="2025-08-22T00:00:00"/>
    <s v="Taxi: Bureau-Charden Farell(Pour le transfert d'argent)"/>
    <x v="0"/>
    <x v="5"/>
    <n v="500"/>
    <n v="0.89135775178182408"/>
    <n v="560.94200000000001"/>
    <x v="10"/>
    <s v="RM-AU-D1"/>
    <s v="PALF"/>
    <s v="Wildcat 2025"/>
    <s v="CONGO"/>
    <m/>
    <m/>
    <m/>
  </r>
  <r>
    <d v="2025-08-22T00:00:00"/>
    <s v="Taxi: Charden Farell-Bureau"/>
    <x v="0"/>
    <x v="5"/>
    <n v="500"/>
    <n v="0.89135775178182408"/>
    <n v="560.94200000000001"/>
    <x v="10"/>
    <s v="RM-AU-D1"/>
    <s v="PALF"/>
    <s v="Wildcat 2025"/>
    <s v="CONGO"/>
    <m/>
    <m/>
    <m/>
  </r>
  <r>
    <d v="2025-08-22T00:00:00"/>
    <s v="Paiement Honoraire Me LOCKO/Mois de Juin 2025/36544889"/>
    <x v="10"/>
    <x v="5"/>
    <n v="150000"/>
    <n v="267.40732553454723"/>
    <n v="560.94200000000001"/>
    <x v="2"/>
    <s v="BQ-AU-R7"/>
    <s v="PALF"/>
    <s v="Wildcat 2025"/>
    <s v="CONGO"/>
    <m/>
    <m/>
    <m/>
  </r>
  <r>
    <d v="2025-08-23T00:00:00"/>
    <s v="Maison-Bureau"/>
    <x v="0"/>
    <x v="0"/>
    <n v="1000"/>
    <n v="1.7827155035636482"/>
    <n v="560.94200000000001"/>
    <x v="0"/>
    <s v="DH-AU-D1"/>
    <s v="PALF"/>
    <s v="Wildcat 2025"/>
    <s v="CONGO"/>
    <m/>
    <m/>
    <m/>
  </r>
  <r>
    <d v="2025-08-23T00:00:00"/>
    <s v="Bureau-Maison"/>
    <x v="0"/>
    <x v="0"/>
    <n v="1000"/>
    <n v="1.7827155035636482"/>
    <n v="560.94200000000001"/>
    <x v="0"/>
    <s v="DH-AU-D1"/>
    <s v="PALF"/>
    <s v="Wildcat 2025"/>
    <s v="CONGO"/>
    <m/>
    <m/>
    <m/>
  </r>
  <r>
    <d v="2025-08-23T00:00:00"/>
    <s v="Taxi moto: Hôtel Mithé-Hôtel Tropicana pour repérage"/>
    <x v="0"/>
    <x v="5"/>
    <n v="500"/>
    <n v="0.89135775178182408"/>
    <n v="560.94200000000001"/>
    <x v="8"/>
    <s v="CR-AU-D1"/>
    <s v="PALF"/>
    <s v="Wildcat 2025"/>
    <s v="CONGO"/>
    <m/>
    <m/>
    <m/>
  </r>
  <r>
    <d v="2025-08-23T00:00:00"/>
    <s v="Taxi moto: Environs Hôtel Tropicana-DDEF pour la lettre de sollicitude de concours de la gendarmerie"/>
    <x v="0"/>
    <x v="5"/>
    <n v="500"/>
    <n v="0.89135775178182408"/>
    <n v="560.94200000000001"/>
    <x v="8"/>
    <s v="CR-AU-D1"/>
    <s v="PALF"/>
    <s v="Wildcat 2025"/>
    <s v="CONGO"/>
    <m/>
    <m/>
    <m/>
  </r>
  <r>
    <d v="2025-08-23T00:00:00"/>
    <s v="Taxi moto: DDEF-Gendarmerie pour dépôt de la demande de concours"/>
    <x v="0"/>
    <x v="5"/>
    <n v="500"/>
    <n v="0.89135775178182408"/>
    <n v="560.94200000000001"/>
    <x v="8"/>
    <s v="CR-AU-D1"/>
    <s v="PALF"/>
    <s v="Wildcat 2025"/>
    <s v="CONGO"/>
    <m/>
    <m/>
    <m/>
  </r>
  <r>
    <d v="2025-08-23T00:00:00"/>
    <s v="Taxi moto: Gendarmerie-Hôtel Mithé"/>
    <x v="0"/>
    <x v="5"/>
    <n v="500"/>
    <n v="0.89135775178182408"/>
    <n v="560.94200000000001"/>
    <x v="8"/>
    <s v="CR-AU-D1"/>
    <s v="PALF"/>
    <s v="Wildcat 2025"/>
    <s v="CONGO"/>
    <m/>
    <m/>
    <m/>
  </r>
  <r>
    <d v="2025-08-23T00:00:00"/>
    <s v="CREPIN-CONGO Frais d'hôtel du 16 au 23/08/2025 à Impfondo (07 Nuitées)"/>
    <x v="7"/>
    <x v="5"/>
    <n v="105000"/>
    <n v="187.18512787418308"/>
    <n v="560.94200000000001"/>
    <x v="8"/>
    <s v="CR-AU-R1-7"/>
    <s v="PALF"/>
    <s v="Wildcat 2025"/>
    <s v="CONGO"/>
    <m/>
    <m/>
    <m/>
  </r>
  <r>
    <d v="2025-08-23T00:00:00"/>
    <s v="Taxi moto: Hôtel Mithé-Hôtel Tropicana pour occupation de la chambre pour opération"/>
    <x v="0"/>
    <x v="5"/>
    <n v="500"/>
    <n v="0.89135775178182408"/>
    <n v="560.94200000000001"/>
    <x v="8"/>
    <s v="CR-AU-D1"/>
    <s v="PALF"/>
    <s v="Wildcat 2025"/>
    <s v="CONGO"/>
    <m/>
    <m/>
    <m/>
  </r>
  <r>
    <d v="2025-08-23T00:00:00"/>
    <s v="Taxi tricycle hotel kb fils-hotel tropicana,réservation chambre op"/>
    <x v="0"/>
    <x v="2"/>
    <n v="1000"/>
    <n v="1.7827155035636482"/>
    <n v="560.94200000000001"/>
    <x v="3"/>
    <s v="P29-AU-D1"/>
    <s v="PALF"/>
    <s v="Wildcat 2025"/>
    <s v="CONGO"/>
    <m/>
    <m/>
    <m/>
  </r>
  <r>
    <d v="2025-08-23T00:00:00"/>
    <s v="Taxi tricycle hotel tropicana-hotel kb fils"/>
    <x v="0"/>
    <x v="2"/>
    <n v="1000"/>
    <n v="1.7827155035636482"/>
    <n v="560.94200000000001"/>
    <x v="3"/>
    <s v="P29-AU-D1"/>
    <s v="PALF"/>
    <s v="Wildcat 2025"/>
    <s v="CONGO"/>
    <m/>
    <m/>
    <m/>
  </r>
  <r>
    <d v="2025-08-23T00:00:00"/>
    <s v="Taxi moto hotel kb fils-hotel mithe,travail avec l'équipe"/>
    <x v="0"/>
    <x v="2"/>
    <n v="500"/>
    <n v="0.89135775178182408"/>
    <n v="560.94200000000001"/>
    <x v="3"/>
    <s v="P29-AU-D1"/>
    <s v="PALF"/>
    <s v="Wildcat 2025"/>
    <s v="CONGO"/>
    <m/>
    <m/>
    <m/>
  </r>
  <r>
    <d v="2025-08-23T00:00:00"/>
    <s v="Taxi tricycle hotel mithe-hotel kb fils"/>
    <x v="0"/>
    <x v="2"/>
    <n v="1000"/>
    <n v="1.7827155035636482"/>
    <n v="560.94200000000001"/>
    <x v="3"/>
    <s v="P29-AU-D1"/>
    <s v="PALF"/>
    <s v="Wildcat 2025"/>
    <s v="CONGO"/>
    <m/>
    <m/>
    <m/>
  </r>
  <r>
    <d v="2025-08-23T00:00:00"/>
    <s v="Taxi moto hotel kb fils-hotel mithe,travail avec l'équipe"/>
    <x v="0"/>
    <x v="2"/>
    <n v="500"/>
    <n v="0.89135775178182408"/>
    <n v="560.94200000000001"/>
    <x v="3"/>
    <s v="P29-AU-D1"/>
    <s v="PALF"/>
    <s v="Wildcat 2025"/>
    <s v="CONGO"/>
    <m/>
    <m/>
    <m/>
  </r>
  <r>
    <d v="2025-08-23T00:00:00"/>
    <s v="Taxi tricycle hotel mithe-hotel kb fils"/>
    <x v="0"/>
    <x v="2"/>
    <n v="1000"/>
    <n v="1.7827155035636482"/>
    <n v="560.94200000000001"/>
    <x v="3"/>
    <s v="P29-AU-D1"/>
    <s v="PALF"/>
    <s v="Wildcat 2025"/>
    <s v="CONGO"/>
    <m/>
    <m/>
    <m/>
  </r>
  <r>
    <d v="2025-08-23T00:00:00"/>
    <s v="Taxi moto : hotel KB fils - hotel tropicana(lieu OP)"/>
    <x v="0"/>
    <x v="2"/>
    <n v="500"/>
    <n v="0.89135775178182408"/>
    <n v="560.94200000000001"/>
    <x v="4"/>
    <s v="T73-AU-D1"/>
    <s v="PALF"/>
    <s v="Wildcat 2025"/>
    <s v="CONGO"/>
    <m/>
    <m/>
    <m/>
  </r>
  <r>
    <d v="2025-08-23T00:00:00"/>
    <s v="Taxi moto : hotel tropicana - centre ville (rendez vous avec la cible)"/>
    <x v="0"/>
    <x v="2"/>
    <n v="500"/>
    <n v="0.89135775178182408"/>
    <n v="560.94200000000001"/>
    <x v="4"/>
    <s v="T73-AU-D1"/>
    <s v="PALF"/>
    <s v="Wildcat 2025"/>
    <s v="CONGO"/>
    <m/>
    <m/>
    <m/>
  </r>
  <r>
    <d v="2025-08-23T00:00:00"/>
    <s v="Taxi moto : centre ville - zone stade (extraction)"/>
    <x v="0"/>
    <x v="2"/>
    <n v="500"/>
    <n v="0.89135775178182408"/>
    <n v="560.94200000000001"/>
    <x v="4"/>
    <s v="T73-AU-D1"/>
    <s v="PALF"/>
    <s v="Wildcat 2025"/>
    <s v="CONGO"/>
    <m/>
    <m/>
    <m/>
  </r>
  <r>
    <d v="2025-08-23T00:00:00"/>
    <s v="Taxi moto : zone stade - zone hopital (extraction)"/>
    <x v="0"/>
    <x v="2"/>
    <n v="500"/>
    <n v="0.89135775178182408"/>
    <n v="560.94200000000001"/>
    <x v="4"/>
    <s v="T73-AU-D1"/>
    <s v="PALF"/>
    <s v="Wildcat 2025"/>
    <s v="CONGO"/>
    <m/>
    <m/>
    <m/>
  </r>
  <r>
    <d v="2025-08-23T00:00:00"/>
    <s v="Taxi moto : zone hopital - l'hotel tropicana (extraction)"/>
    <x v="0"/>
    <x v="2"/>
    <n v="500"/>
    <n v="0.89135775178182408"/>
    <n v="560.94200000000001"/>
    <x v="4"/>
    <s v="T73-AU-D1"/>
    <s v="PALF"/>
    <s v="Wildcat 2025"/>
    <s v="CONGO"/>
    <m/>
    <m/>
    <m/>
  </r>
  <r>
    <d v="2025-08-23T00:00:00"/>
    <s v="T73 - CONGO Frais d'hotel du 16 au 23/08/2025 à Impfondo (07 Nuitées)"/>
    <x v="7"/>
    <x v="2"/>
    <n v="105000"/>
    <n v="187.18512787418308"/>
    <n v="560.94200000000001"/>
    <x v="4"/>
    <s v="T73-AU-R9"/>
    <s v="PALF"/>
    <s v="Wildcat 2025"/>
    <s v="CONGO"/>
    <m/>
    <m/>
    <m/>
  </r>
  <r>
    <d v="2025-08-23T00:00:00"/>
    <s v="IT87-CONGO Frais d'hôtel  du 21 au 23/08/2025 à Ngo (02 nuitées)"/>
    <x v="7"/>
    <x v="2"/>
    <n v="30000"/>
    <n v="53.481465106909447"/>
    <n v="560.94200000000001"/>
    <x v="5"/>
    <s v="IT87-AU-R7"/>
    <s v="PALF"/>
    <s v="Wildcat 2025"/>
    <s v="CONGO"/>
    <m/>
    <m/>
    <m/>
  </r>
  <r>
    <d v="2025-08-23T00:00:00"/>
    <s v="Taxi moto : Hôtel - Parking/ Départ de Ngo pour Inoni"/>
    <x v="0"/>
    <x v="2"/>
    <n v="500"/>
    <n v="0.89135775178182408"/>
    <n v="560.94200000000001"/>
    <x v="5"/>
    <s v="IT87-AU-D1"/>
    <s v="PALF"/>
    <s v="Wildcat 2025"/>
    <s v="CONGO"/>
    <m/>
    <m/>
    <m/>
  </r>
  <r>
    <d v="2025-08-23T00:00:00"/>
    <s v="Achat billet Ngo - Inoni/ IT87"/>
    <x v="0"/>
    <x v="2"/>
    <n v="5000"/>
    <n v="8.9135775178182417"/>
    <n v="560.94200000000001"/>
    <x v="5"/>
    <s v="IT87-AU-R8"/>
    <s v="PALF"/>
    <s v="Wildcat 2025"/>
    <s v="CONGO"/>
    <m/>
    <m/>
    <m/>
  </r>
  <r>
    <d v="2025-08-23T00:00:00"/>
    <s v="Taxi moto : Parking - Hôtel Paulina/ Arrivé à Inoni"/>
    <x v="0"/>
    <x v="2"/>
    <n v="500"/>
    <n v="0.89135775178182408"/>
    <n v="560.94200000000001"/>
    <x v="5"/>
    <s v="IT87-AU-D1"/>
    <s v="PALF"/>
    <s v="Wildcat 2025"/>
    <s v="CONGO"/>
    <m/>
    <m/>
    <m/>
  </r>
  <r>
    <d v="2025-08-23T00:00:00"/>
    <s v="Taxi moto : Hôtel - Ecole primaire de Inoni/ Prospection"/>
    <x v="0"/>
    <x v="2"/>
    <n v="500"/>
    <n v="0.89135775178182408"/>
    <n v="560.94200000000001"/>
    <x v="5"/>
    <s v="IT87-AU-D1"/>
    <s v="PALF"/>
    <s v="Wildcat 2025"/>
    <s v="CONGO"/>
    <m/>
    <m/>
    <m/>
  </r>
  <r>
    <d v="2025-08-23T00:00:00"/>
    <s v="Taxi moto : Ecole primaire d'Inoni - Centre/ Prospection"/>
    <x v="0"/>
    <x v="2"/>
    <n v="500"/>
    <n v="0.89135775178182408"/>
    <n v="560.94200000000001"/>
    <x v="5"/>
    <s v="IT87-AU-D1"/>
    <s v="PALF"/>
    <s v="Wildcat 2025"/>
    <s v="CONGO"/>
    <m/>
    <m/>
    <m/>
  </r>
  <r>
    <d v="2025-08-23T00:00:00"/>
    <s v="Taxi moto : Centre - Hôtel/ Retour de prospection"/>
    <x v="0"/>
    <x v="2"/>
    <n v="500"/>
    <n v="0.89135775178182408"/>
    <n v="560.94200000000001"/>
    <x v="5"/>
    <s v="IT87-AU-D1"/>
    <s v="PALF"/>
    <s v="Wildcat 2025"/>
    <s v="CONGO"/>
    <m/>
    <m/>
    <m/>
  </r>
  <r>
    <d v="2025-08-23T00:00:00"/>
    <s v="Taxi :Hotel - gare routière"/>
    <x v="0"/>
    <x v="2"/>
    <n v="500"/>
    <n v="0.89135775178182408"/>
    <n v="560.94200000000001"/>
    <x v="6"/>
    <s v="G12-AU-D1"/>
    <s v="PALF"/>
    <s v="Wildcat 2025"/>
    <s v="CONGO"/>
    <m/>
    <m/>
    <m/>
  </r>
  <r>
    <d v="2025-08-23T00:00:00"/>
    <s v="G12-CONGO Achat billet Pointe Noire - Hinda"/>
    <x v="0"/>
    <x v="2"/>
    <n v="4000"/>
    <n v="7.1308620142545927"/>
    <n v="560.94200000000001"/>
    <x v="6"/>
    <s v="G12-AU-R7"/>
    <s v="PALF"/>
    <s v="Wildcat 2025"/>
    <s v="CONGO"/>
    <m/>
    <m/>
    <m/>
  </r>
  <r>
    <d v="2025-08-23T00:00:00"/>
    <s v="Taxi:Gare routière - zone de la préfecture"/>
    <x v="0"/>
    <x v="2"/>
    <n v="500"/>
    <n v="0.89135775178182408"/>
    <n v="560.94200000000001"/>
    <x v="6"/>
    <s v="G12-AU-D1"/>
    <s v="PALF"/>
    <s v="Wildcat 2025"/>
    <s v="CONGO"/>
    <m/>
    <m/>
    <m/>
  </r>
  <r>
    <d v="2025-08-23T00:00:00"/>
    <s v="Achat boisson 1 cible"/>
    <x v="5"/>
    <x v="2"/>
    <n v="1000"/>
    <n v="1.7827155035636482"/>
    <n v="560.94200000000001"/>
    <x v="6"/>
    <s v="G12-AU-D3"/>
    <s v="PALF"/>
    <s v="Wildcat 2025"/>
    <s v="CONGO"/>
    <m/>
    <m/>
    <m/>
  </r>
  <r>
    <d v="2025-08-23T00:00:00"/>
    <s v="Taxi:Zone de préfecture - marché"/>
    <x v="0"/>
    <x v="2"/>
    <n v="500"/>
    <n v="0.89135775178182408"/>
    <n v="560.94200000000001"/>
    <x v="6"/>
    <s v="G12-AU-D1"/>
    <s v="PALF"/>
    <s v="Wildcat 2025"/>
    <s v="CONGO"/>
    <m/>
    <m/>
    <m/>
  </r>
  <r>
    <d v="2025-08-23T00:00:00"/>
    <s v="Taxi : Marché -gare routière"/>
    <x v="0"/>
    <x v="2"/>
    <n v="500"/>
    <n v="0.89135775178182408"/>
    <n v="560.94200000000001"/>
    <x v="6"/>
    <s v="G12-AU-D1"/>
    <s v="PALF"/>
    <s v="Wildcat 2025"/>
    <s v="CONGO"/>
    <m/>
    <m/>
    <m/>
  </r>
  <r>
    <d v="2025-08-23T00:00:00"/>
    <s v="G12-CONGO Achat billet Hinda -Pointe Noire"/>
    <x v="0"/>
    <x v="2"/>
    <n v="4000"/>
    <n v="7.1308620142545927"/>
    <n v="560.94200000000001"/>
    <x v="6"/>
    <s v="G12-AU-R8"/>
    <s v="PALF"/>
    <s v="Wildcat 2025"/>
    <s v="CONGO"/>
    <m/>
    <m/>
    <m/>
  </r>
  <r>
    <d v="2025-08-23T00:00:00"/>
    <s v="Taxi: Gare routière -agence trans bony"/>
    <x v="0"/>
    <x v="2"/>
    <n v="1000"/>
    <n v="1.7827155035636482"/>
    <n v="560.94200000000001"/>
    <x v="6"/>
    <s v="G12-AU-D1"/>
    <s v="PALF"/>
    <s v="Wildcat 2025"/>
    <s v="CONGO"/>
    <m/>
    <m/>
    <m/>
  </r>
  <r>
    <d v="2025-08-23T00:00:00"/>
    <s v="G12-CONGO Achat billet Pointe Noire- Brazzaville"/>
    <x v="0"/>
    <x v="2"/>
    <n v="12000"/>
    <n v="21.392586042763778"/>
    <n v="560.94200000000001"/>
    <x v="6"/>
    <s v="G12-AU-R9"/>
    <s v="PALF"/>
    <s v="Wildcat 2025"/>
    <s v="CONGO"/>
    <m/>
    <m/>
    <m/>
  </r>
  <r>
    <d v="2025-08-23T00:00:00"/>
    <s v="Taxi : Agence - hotel"/>
    <x v="0"/>
    <x v="2"/>
    <n v="1000"/>
    <n v="1.7827155035636482"/>
    <n v="560.94200000000001"/>
    <x v="6"/>
    <s v="G12-AU-D1"/>
    <s v="PALF"/>
    <s v="Wildcat 2025"/>
    <s v="CONGO"/>
    <m/>
    <m/>
    <m/>
  </r>
  <r>
    <d v="2025-08-23T00:00:00"/>
    <s v="Taxi moto Hôtel Mithé- Hôtel Tropicana/ Reperage"/>
    <x v="9"/>
    <x v="5"/>
    <n v="500"/>
    <n v="0.89135775178182408"/>
    <n v="560.94200000000001"/>
    <x v="9"/>
    <s v="DR-AU-D1"/>
    <s v="PALF"/>
    <s v="Wildcat 2025"/>
    <s v="CONGO"/>
    <m/>
    <m/>
    <m/>
  </r>
  <r>
    <d v="2025-08-23T00:00:00"/>
    <s v="Taxi moto Hôtel Tropicana- Aeroport d'Impfondo"/>
    <x v="9"/>
    <x v="5"/>
    <n v="500"/>
    <n v="0.89135775178182408"/>
    <n v="560.94200000000001"/>
    <x v="9"/>
    <s v="DR-AU-D1"/>
    <s v="PALF"/>
    <s v="Wildcat 2025"/>
    <s v="CONGO"/>
    <m/>
    <m/>
    <m/>
  </r>
  <r>
    <d v="2025-08-23T00:00:00"/>
    <s v="Taxi moto Aeroport d'Impfondo-Charden farell/ Retrait des fonds"/>
    <x v="9"/>
    <x v="5"/>
    <n v="500"/>
    <n v="0.89135775178182408"/>
    <n v="560.94200000000001"/>
    <x v="9"/>
    <s v="DR-AU-D1"/>
    <s v="PALF"/>
    <s v="Wildcat 2025"/>
    <s v="CONGO"/>
    <m/>
    <m/>
    <m/>
  </r>
  <r>
    <d v="2025-08-23T00:00:00"/>
    <s v="Taxi Charden farell-Hôtel Mithé"/>
    <x v="9"/>
    <x v="5"/>
    <n v="500"/>
    <n v="0.89135775178182408"/>
    <n v="560.94200000000001"/>
    <x v="9"/>
    <s v="DR-AU-D1"/>
    <s v="PALF"/>
    <s v="Wildcat 2025"/>
    <s v="CONGO"/>
    <m/>
    <m/>
    <m/>
  </r>
  <r>
    <d v="2025-08-23T00:00:00"/>
    <s v="Taxi moto, Hôtel Mithé2-les environs de l'hôtel Tropicana"/>
    <x v="0"/>
    <x v="3"/>
    <n v="500"/>
    <n v="0.89135775178182408"/>
    <n v="560.94200000000001"/>
    <x v="7"/>
    <s v="EV-AU-D1"/>
    <s v="PALF"/>
    <s v="Wildcat 2025"/>
    <s v="CONGO"/>
    <m/>
    <m/>
    <m/>
  </r>
  <r>
    <d v="2025-08-23T00:00:00"/>
    <s v="Taxi moto, Hôtel Tropicana-Hôtel Mithé2"/>
    <x v="0"/>
    <x v="3"/>
    <n v="500"/>
    <n v="0.89135775178182408"/>
    <n v="560.94200000000001"/>
    <x v="7"/>
    <s v="EV-AU-D1"/>
    <s v="PALF"/>
    <s v="Wildcat 2025"/>
    <s v="CONGO"/>
    <m/>
    <m/>
    <m/>
  </r>
  <r>
    <d v="2025-08-24T00:00:00"/>
    <s v="Maison-Bureau"/>
    <x v="0"/>
    <x v="0"/>
    <n v="1000"/>
    <n v="1.7827155035636482"/>
    <n v="560.94200000000001"/>
    <x v="0"/>
    <s v="DH-AU-D1"/>
    <s v="PALF"/>
    <s v="Wildcat 2025"/>
    <s v="CONGO"/>
    <m/>
    <m/>
    <m/>
  </r>
  <r>
    <d v="2025-08-24T00:00:00"/>
    <s v="Bureau-Maison"/>
    <x v="0"/>
    <x v="0"/>
    <n v="1000"/>
    <n v="1.7827155035636482"/>
    <n v="560.94200000000001"/>
    <x v="0"/>
    <s v="DH-AU-D1"/>
    <s v="PALF"/>
    <s v="Wildcat 2025"/>
    <s v="CONGO"/>
    <m/>
    <m/>
    <m/>
  </r>
  <r>
    <d v="2025-08-24T00:00:00"/>
    <s v="Taxi moto: Hôtel Tropicana-Hôtel Mithé pour briefing équipe PALF."/>
    <x v="0"/>
    <x v="5"/>
    <n v="500"/>
    <n v="0.89135775178182408"/>
    <n v="560.94200000000001"/>
    <x v="8"/>
    <s v="CR-AU-D1"/>
    <s v="PALF"/>
    <s v="Wildcat 2025"/>
    <s v="CONGO"/>
    <m/>
    <m/>
    <m/>
  </r>
  <r>
    <d v="2025-08-24T00:00:00"/>
    <s v="Taxi moto: Hôtel Mithé-Hôtel Tropicana"/>
    <x v="0"/>
    <x v="5"/>
    <n v="500"/>
    <n v="0.89135775178182408"/>
    <n v="560.94200000000001"/>
    <x v="8"/>
    <s v="CR-AU-D1"/>
    <s v="PALF"/>
    <s v="Wildcat 2025"/>
    <s v="CONGO"/>
    <m/>
    <m/>
    <m/>
  </r>
  <r>
    <d v="2025-08-24T00:00:00"/>
    <s v="Taxi tricycle hotel kb fils-hotel mithe,brefing"/>
    <x v="0"/>
    <x v="2"/>
    <n v="1000"/>
    <n v="1.7827155035636482"/>
    <n v="560.94200000000001"/>
    <x v="3"/>
    <s v="P29-AU-D1"/>
    <s v="PALF"/>
    <s v="Wildcat 2025"/>
    <s v="CONGO"/>
    <m/>
    <m/>
    <m/>
  </r>
  <r>
    <d v="2025-08-24T00:00:00"/>
    <s v="Taxi tricycle hotel mithe-hotel kb fils"/>
    <x v="0"/>
    <x v="2"/>
    <n v="1000"/>
    <n v="1.7827155035636482"/>
    <n v="560.94200000000001"/>
    <x v="3"/>
    <s v="P29-AU-D1"/>
    <s v="PALF"/>
    <s v="Wildcat 2025"/>
    <s v="CONGO"/>
    <m/>
    <m/>
    <m/>
  </r>
  <r>
    <d v="2025-08-24T00:00:00"/>
    <s v="Taxi moto : hotel tropicana - centre ville (rendez vous avec la cible)"/>
    <x v="0"/>
    <x v="2"/>
    <n v="500"/>
    <n v="0.89135775178182408"/>
    <n v="560.94200000000001"/>
    <x v="4"/>
    <s v="T73-AU-D1"/>
    <s v="PALF"/>
    <s v="Wildcat 2025"/>
    <s v="CONGO"/>
    <m/>
    <m/>
    <m/>
  </r>
  <r>
    <d v="2025-08-24T00:00:00"/>
    <s v="Taxi moto : centre ville - marché (extraction)"/>
    <x v="0"/>
    <x v="2"/>
    <n v="500"/>
    <n v="0.89135775178182408"/>
    <n v="560.94200000000001"/>
    <x v="4"/>
    <s v="T73-AU-D1"/>
    <s v="PALF"/>
    <s v="Wildcat 2025"/>
    <s v="CONGO"/>
    <m/>
    <m/>
    <m/>
  </r>
  <r>
    <d v="2025-08-24T00:00:00"/>
    <s v="Taxi moto : marché - zone stade (extraction)"/>
    <x v="0"/>
    <x v="2"/>
    <n v="500"/>
    <n v="0.89135775178182408"/>
    <n v="560.94200000000001"/>
    <x v="4"/>
    <s v="T73-AU-D1"/>
    <s v="PALF"/>
    <s v="Wildcat 2025"/>
    <s v="CONGO"/>
    <m/>
    <m/>
    <m/>
  </r>
  <r>
    <d v="2025-08-24T00:00:00"/>
    <s v="Taxi moto : zone stade - quartier tosangana (extraction)"/>
    <x v="0"/>
    <x v="2"/>
    <n v="500"/>
    <n v="0.89135775178182408"/>
    <n v="560.94200000000001"/>
    <x v="4"/>
    <s v="T73-AU-D1"/>
    <s v="PALF"/>
    <s v="Wildcat 2025"/>
    <s v="CONGO"/>
    <m/>
    <m/>
    <m/>
  </r>
  <r>
    <d v="2025-08-24T00:00:00"/>
    <s v="Taxi moto : quartier tosangana - hotel mithe (reunion avec l'équipe)"/>
    <x v="0"/>
    <x v="2"/>
    <n v="500"/>
    <n v="0.89135775178182408"/>
    <n v="560.94200000000001"/>
    <x v="4"/>
    <s v="T73-AU-D1"/>
    <s v="PALF"/>
    <s v="Wildcat 2025"/>
    <s v="CONGO"/>
    <m/>
    <m/>
    <m/>
  </r>
  <r>
    <d v="2025-08-24T00:00:00"/>
    <s v="Taxi moto : hotel mithe - hottel tropicana (reunion avec l'équipe)"/>
    <x v="0"/>
    <x v="2"/>
    <n v="500"/>
    <n v="0.89135775178182408"/>
    <n v="560.94200000000001"/>
    <x v="4"/>
    <s v="T73-AU-D1"/>
    <s v="PALF"/>
    <s v="Wildcat 2025"/>
    <s v="CONGO"/>
    <m/>
    <m/>
    <m/>
  </r>
  <r>
    <d v="2025-08-24T00:00:00"/>
    <s v="IT87-CONGO Frais d'hôtel  du 23 au 24/08/2025 à Inoni (01 nuitée)"/>
    <x v="7"/>
    <x v="2"/>
    <n v="15000"/>
    <n v="26.740732553454723"/>
    <n v="560.94200000000001"/>
    <x v="5"/>
    <s v="IT87-AU-R9"/>
    <s v="PALF"/>
    <s v="Wildcat 2025"/>
    <s v="CONGO"/>
    <m/>
    <m/>
    <m/>
  </r>
  <r>
    <d v="2025-08-24T00:00:00"/>
    <s v="Taxi moto : Hôtel - Parking/ Départ de Inoni pour Brazzaville"/>
    <x v="0"/>
    <x v="2"/>
    <n v="500"/>
    <n v="0.89135775178182408"/>
    <n v="560.94200000000001"/>
    <x v="5"/>
    <s v="IT87-AU-D1"/>
    <s v="PALF"/>
    <s v="Wildcat 2025"/>
    <s v="CONGO"/>
    <m/>
    <m/>
    <m/>
  </r>
  <r>
    <d v="2025-08-24T00:00:00"/>
    <s v="Achat billet Inoni - Brazzaville/ IT87"/>
    <x v="0"/>
    <x v="2"/>
    <n v="5000"/>
    <n v="8.9135775178182417"/>
    <n v="560.94200000000001"/>
    <x v="5"/>
    <s v="IT87-AU-R10"/>
    <s v="PALF"/>
    <s v="Wildcat 2025"/>
    <s v="CONGO"/>
    <m/>
    <m/>
    <m/>
  </r>
  <r>
    <d v="2025-08-24T00:00:00"/>
    <s v="Taxi : TalangaÏ - Domicile/ Arrivé à Brazzaville"/>
    <x v="0"/>
    <x v="2"/>
    <n v="4000"/>
    <n v="7.1308620142545927"/>
    <n v="560.94200000000001"/>
    <x v="5"/>
    <s v="IT87-AU-D1"/>
    <s v="PALF"/>
    <s v="Wildcat 2025"/>
    <s v="CONGO"/>
    <m/>
    <m/>
    <m/>
  </r>
  <r>
    <d v="2025-08-24T00:00:00"/>
    <s v="G12-CONGO frais d'hôtel du 19 /08/2025 au 24/08/2025 ( à pointe noire"/>
    <x v="7"/>
    <x v="2"/>
    <n v="75000"/>
    <n v="133.70366276727361"/>
    <n v="560.94200000000001"/>
    <x v="6"/>
    <s v="G12-AU-R10"/>
    <s v="PALF"/>
    <s v="Wildcat 2025"/>
    <s v="CONGO"/>
    <m/>
    <m/>
    <m/>
  </r>
  <r>
    <d v="2025-08-24T00:00:00"/>
    <s v="Taxi : Hotel- agence / achat billet pointe noire / brazzaville"/>
    <x v="0"/>
    <x v="2"/>
    <n v="1000"/>
    <n v="1.7827155035636482"/>
    <n v="560.94200000000001"/>
    <x v="6"/>
    <s v="G12-AU-D1"/>
    <s v="PALF"/>
    <s v="Wildcat 2025"/>
    <s v="CONGO"/>
    <m/>
    <m/>
    <m/>
  </r>
  <r>
    <d v="2025-08-24T00:00:00"/>
    <s v="Taxi: Agence - domicile     "/>
    <x v="0"/>
    <x v="2"/>
    <n v="1000"/>
    <n v="1.7827155035636482"/>
    <n v="560.94200000000001"/>
    <x v="6"/>
    <s v="G12-AU-D1"/>
    <s v="PALF"/>
    <s v="Wildcat 2025"/>
    <s v="CONGO"/>
    <m/>
    <m/>
    <m/>
  </r>
  <r>
    <d v="2025-08-24T00:00:00"/>
    <s v="Taxi moto Hôtel Mithé- Cyber / Faire imprimer la photo et le mandat"/>
    <x v="9"/>
    <x v="5"/>
    <n v="500"/>
    <n v="0.89135775178182408"/>
    <n v="560.94200000000001"/>
    <x v="9"/>
    <s v="DR-AU-D1"/>
    <s v="PALF"/>
    <s v="Wildcat 2025"/>
    <s v="CONGO"/>
    <m/>
    <m/>
    <m/>
  </r>
  <r>
    <d v="2025-08-24T00:00:00"/>
    <s v="Frais d'impression de la photo et du mandat"/>
    <x v="13"/>
    <x v="5"/>
    <n v="1400"/>
    <n v="2.4958017049891077"/>
    <n v="560.94200000000001"/>
    <x v="9"/>
    <s v="DR-AU-R6"/>
    <s v="PALF"/>
    <s v="Wildcat 2025"/>
    <s v="CONGO"/>
    <m/>
    <m/>
    <m/>
  </r>
  <r>
    <d v="2025-08-24T00:00:00"/>
    <s v="Taxi moto Cyber-Hôtel Mithé"/>
    <x v="9"/>
    <x v="5"/>
    <n v="500"/>
    <n v="0.89135775178182408"/>
    <n v="560.94200000000001"/>
    <x v="9"/>
    <s v="DR-AU-D1"/>
    <s v="PALF"/>
    <s v="Wildcat 2025"/>
    <s v="CONGO"/>
    <m/>
    <m/>
    <m/>
  </r>
  <r>
    <d v="2025-08-25T00:00:00"/>
    <s v="Maison-Bureau"/>
    <x v="0"/>
    <x v="0"/>
    <n v="1000"/>
    <n v="1.7827155035636482"/>
    <n v="560.94200000000001"/>
    <x v="0"/>
    <s v="DH-AU-D1"/>
    <s v="PALF"/>
    <s v="Wildcat 2025"/>
    <s v="CONGO"/>
    <m/>
    <m/>
    <m/>
  </r>
  <r>
    <d v="2025-08-25T00:00:00"/>
    <s v="Bureau-Maison"/>
    <x v="0"/>
    <x v="0"/>
    <n v="1000"/>
    <n v="1.7827155035636482"/>
    <n v="560.94200000000001"/>
    <x v="0"/>
    <s v="DH-AU-D1"/>
    <s v="PALF"/>
    <s v="Wildcat 2025"/>
    <s v="CONGO"/>
    <m/>
    <m/>
    <m/>
  </r>
  <r>
    <d v="2025-08-25T00:00:00"/>
    <s v="Taxi moto: Hôtel Tropicana-Gendarmerie pour briefing autorités"/>
    <x v="0"/>
    <x v="5"/>
    <n v="500"/>
    <n v="0.89135775178182408"/>
    <n v="560.94200000000001"/>
    <x v="8"/>
    <s v="CR-AU-D1"/>
    <s v="PALF"/>
    <s v="Wildcat 2025"/>
    <s v="CONGO"/>
    <m/>
    <m/>
    <m/>
  </r>
  <r>
    <d v="2025-08-25T00:00:00"/>
    <s v="05 Taxis motos pour 04 gendarmes et moi: Gendarmerie-Hôtel Tropicana pour positionnement"/>
    <x v="0"/>
    <x v="5"/>
    <n v="2000"/>
    <n v="3.5654310071272963"/>
    <n v="560.94200000000001"/>
    <x v="8"/>
    <s v="CR-AU-D1"/>
    <s v="PALF"/>
    <s v="Wildcat 2025"/>
    <s v="CONGO"/>
    <m/>
    <m/>
    <m/>
  </r>
  <r>
    <d v="2025-08-25T00:00:00"/>
    <s v="Raffraichissements pendant l'attente de l'opération avec 04 gendarmes en civli"/>
    <x v="7"/>
    <x v="6"/>
    <n v="10000"/>
    <n v="17.827155035636483"/>
    <n v="560.94200000000001"/>
    <x v="8"/>
    <s v="CR-AU-R1-8"/>
    <s v="PALF"/>
    <s v="Wildcat 2025"/>
    <s v="CONGO"/>
    <m/>
    <m/>
    <m/>
  </r>
  <r>
    <d v="2025-08-25T00:00:00"/>
    <s v="Taxi moto: Gendarmerie-Hôtel Mithé"/>
    <x v="0"/>
    <x v="5"/>
    <n v="500"/>
    <n v="0.89135775178182408"/>
    <n v="560.94200000000001"/>
    <x v="8"/>
    <s v="CR-AU-D1"/>
    <s v="PALF"/>
    <s v="Wildcat 2025"/>
    <s v="CONGO"/>
    <m/>
    <m/>
    <m/>
  </r>
  <r>
    <d v="2025-08-25T00:00:00"/>
    <s v="Taxi:  Bureau-Banque BCI/ Dépôt ordre de virement salaire du mois d'Août 2025"/>
    <x v="0"/>
    <x v="1"/>
    <n v="1000"/>
    <n v="1.7827155035636482"/>
    <n v="560.94200000000001"/>
    <x v="1"/>
    <s v="P-AU-D1"/>
    <s v="PALF"/>
    <s v="Wildcat 2025"/>
    <s v="CONGO"/>
    <m/>
    <m/>
    <m/>
  </r>
  <r>
    <d v="2025-08-25T00:00:00"/>
    <s v="Taxi:  Banque BCI - Direction MTN /Transfert d'argent à P29 et T73"/>
    <x v="0"/>
    <x v="1"/>
    <n v="1000"/>
    <n v="1.7827155035636482"/>
    <n v="560.94200000000001"/>
    <x v="1"/>
    <s v="P-AU-D1"/>
    <s v="PALF"/>
    <s v="Wildcat 2025"/>
    <s v="CONGO"/>
    <m/>
    <m/>
    <m/>
  </r>
  <r>
    <d v="2025-08-25T00:00:00"/>
    <s v="Taxi: Direction MTN-Bureau/ "/>
    <x v="0"/>
    <x v="1"/>
    <n v="1000"/>
    <n v="1.7827155035636482"/>
    <n v="560.94200000000001"/>
    <x v="1"/>
    <s v="P-AU-D1"/>
    <s v="PALF"/>
    <s v="Wildcat 2025"/>
    <s v="CONGO"/>
    <m/>
    <m/>
    <m/>
  </r>
  <r>
    <d v="2025-08-25T00:00:00"/>
    <s v="Frais de tansfert d'argent à T73 et P29"/>
    <x v="11"/>
    <x v="1"/>
    <n v="12985"/>
    <n v="23.148560813773972"/>
    <n v="560.94200000000001"/>
    <x v="1"/>
    <s v="CA-AU-R11"/>
    <s v="PALF"/>
    <s v="Wildcat 2025"/>
    <s v="CONGO"/>
    <m/>
    <m/>
    <m/>
  </r>
  <r>
    <d v="2025-08-25T00:00:00"/>
    <s v="P29 -CONGO Frais d'hotel du 16 au 25/08/2025 à  impfondo (09 Nuitées)"/>
    <x v="7"/>
    <x v="2"/>
    <n v="135000"/>
    <n v="240.66659298109252"/>
    <n v="560.94200000000001"/>
    <x v="3"/>
    <s v="P29-AU-R8"/>
    <s v="PALF"/>
    <s v="Wildcat 2025"/>
    <s v="CONGO"/>
    <m/>
    <m/>
    <m/>
  </r>
  <r>
    <d v="2025-08-25T00:00:00"/>
    <s v="Location véhicule pour extraction Impfondo-enyelle/P29"/>
    <x v="0"/>
    <x v="2"/>
    <n v="350000"/>
    <n v="623.95042624727694"/>
    <n v="560.94200000000001"/>
    <x v="3"/>
    <s v="P29-AU-R9"/>
    <s v="PALF"/>
    <s v="Wildcat 2025"/>
    <s v="CONGO"/>
    <m/>
    <m/>
    <m/>
  </r>
  <r>
    <d v="2025-08-25T00:00:00"/>
    <s v="Taxi hotel-route nationale,croiser le vehicule extraction"/>
    <x v="0"/>
    <x v="2"/>
    <n v="1000"/>
    <n v="1.7827155035636482"/>
    <n v="560.94200000000001"/>
    <x v="3"/>
    <s v="P29-AU-D1"/>
    <s v="PALF"/>
    <s v="Wildcat 2025"/>
    <s v="CONGO"/>
    <m/>
    <m/>
    <m/>
  </r>
  <r>
    <d v="2025-08-25T00:00:00"/>
    <s v="Taxi moto Hôtel Mithé- Gendarmerie/ Opération"/>
    <x v="9"/>
    <x v="5"/>
    <n v="500"/>
    <n v="0.89135775178182408"/>
    <n v="560.94200000000001"/>
    <x v="9"/>
    <s v="DR-AU-D1"/>
    <s v="PALF"/>
    <s v="Wildcat 2025"/>
    <s v="CONGO"/>
    <m/>
    <m/>
    <m/>
  </r>
  <r>
    <d v="2025-08-25T00:00:00"/>
    <s v="Achat carburant BJ OP"/>
    <x v="9"/>
    <x v="6"/>
    <n v="25000"/>
    <n v="44.567887589091207"/>
    <n v="560.94200000000001"/>
    <x v="9"/>
    <s v="DR-AU-R7"/>
    <s v="PALF"/>
    <s v="Wildcat 2025"/>
    <s v="CONGO"/>
    <m/>
    <m/>
    <m/>
  </r>
  <r>
    <d v="2025-08-25T00:00:00"/>
    <s v="Rafraichissement OP  à Impfondo/10  gendarmes et moi"/>
    <x v="7"/>
    <x v="5"/>
    <n v="23250"/>
    <n v="41.448135457854825"/>
    <n v="560.94200000000001"/>
    <x v="9"/>
    <s v="DR-AU-R8"/>
    <s v="PALF"/>
    <s v="Wildcat 2025"/>
    <s v="CONGO"/>
    <m/>
    <m/>
    <m/>
  </r>
  <r>
    <d v="2025-08-25T00:00:00"/>
    <s v="Taxi moto Region de Gendarmerie- Hôtel Mithé"/>
    <x v="9"/>
    <x v="5"/>
    <n v="500"/>
    <n v="0.89135775178182408"/>
    <n v="560.94200000000001"/>
    <x v="9"/>
    <s v="DR-AU-D1"/>
    <s v="PALF"/>
    <s v="Wildcat 2025"/>
    <s v="CONGO"/>
    <m/>
    <m/>
    <m/>
  </r>
  <r>
    <d v="2025-08-25T00:00:00"/>
    <s v="Taxi moto Hôtel Mithé-La Brigade de Recherche/ Pour la visite geôle du 25/08/2025 à 20h"/>
    <x v="9"/>
    <x v="5"/>
    <n v="500"/>
    <n v="0.89135775178182408"/>
    <n v="560.94200000000001"/>
    <x v="9"/>
    <s v="DR-AU-D1"/>
    <s v="PALF"/>
    <s v="Wildcat 2025"/>
    <s v="CONGO"/>
    <m/>
    <m/>
    <m/>
  </r>
  <r>
    <d v="2025-08-25T00:00:00"/>
    <s v="Ration d'une prevenue/ MOUKAHOU Clarisse/ A la gandarmerie d'Impfondo/Soir"/>
    <x v="12"/>
    <x v="5"/>
    <n v="1500"/>
    <n v="2.6740732553454722"/>
    <n v="560.94200000000001"/>
    <x v="9"/>
    <s v="DR-AU-D3"/>
    <s v="PALF"/>
    <s v="Wildcat 2025"/>
    <s v="CONGO"/>
    <m/>
    <m/>
    <m/>
  </r>
  <r>
    <d v="2025-08-25T00:00:00"/>
    <s v="Taxi moto La Brigade de Recherche- Hôtel Mithé"/>
    <x v="9"/>
    <x v="5"/>
    <n v="500"/>
    <n v="0.89135775178182408"/>
    <n v="560.94200000000001"/>
    <x v="9"/>
    <s v="DR-AU-D1"/>
    <s v="PALF"/>
    <s v="Wildcat 2025"/>
    <s v="CONGO"/>
    <m/>
    <m/>
    <m/>
  </r>
  <r>
    <d v="2025-08-25T00:00:00"/>
    <s v="Taxi moto, Hôtel Mithé2-Région de Gendarmerie"/>
    <x v="0"/>
    <x v="3"/>
    <n v="500"/>
    <n v="0.89135775178182408"/>
    <n v="560.94200000000001"/>
    <x v="7"/>
    <s v="EV-AU-D1"/>
    <s v="PALF"/>
    <s v="Wildcat 2025"/>
    <s v="CONGO"/>
    <m/>
    <m/>
    <m/>
  </r>
  <r>
    <d v="2025-08-25T00:00:00"/>
    <s v="Taxi moto, Région de Gendarmerie-Le Bar en face de l'hôtel Tropicana"/>
    <x v="0"/>
    <x v="3"/>
    <n v="500"/>
    <n v="0.89135775178182408"/>
    <n v="560.94200000000001"/>
    <x v="7"/>
    <s v="EV-AU-D1"/>
    <s v="PALF"/>
    <s v="Wildcat 2025"/>
    <s v="CONGO"/>
    <m/>
    <m/>
    <m/>
  </r>
  <r>
    <d v="2025-08-25T00:00:00"/>
    <s v="Rafraichissement de mon équipe lors de l'opération/ Evariste"/>
    <x v="7"/>
    <x v="3"/>
    <n v="10000"/>
    <n v="17.827155035636483"/>
    <n v="560.94200000000001"/>
    <x v="7"/>
    <s v="EV-AU-R6"/>
    <s v="PALF"/>
    <s v="Wildcat 2025"/>
    <s v="CONGO"/>
    <m/>
    <m/>
    <m/>
  </r>
  <r>
    <d v="2025-08-25T00:00:00"/>
    <s v="Taxi moto, Région de Gendarmerie-Hôtel Mithé2"/>
    <x v="0"/>
    <x v="3"/>
    <n v="500"/>
    <n v="0.89135775178182408"/>
    <n v="560.94200000000001"/>
    <x v="7"/>
    <s v="EV-AU-D1"/>
    <s v="PALF"/>
    <s v="Wildcat 2025"/>
    <s v="CONGO"/>
    <m/>
    <m/>
    <m/>
  </r>
  <r>
    <d v="2025-08-25T00:00:00"/>
    <s v="Achat chaise  bureau PALF"/>
    <x v="14"/>
    <x v="1"/>
    <n v="35000"/>
    <n v="62.395042624727687"/>
    <n v="560.94200000000001"/>
    <x v="10"/>
    <s v="CA-AU-R9"/>
    <s v="PALF"/>
    <s v="Wildcat 2025"/>
    <s v="CONGO"/>
    <m/>
    <m/>
    <m/>
  </r>
  <r>
    <d v="2025-08-25T00:00:00"/>
    <s v="Frais de reparation chaise bureau PALF"/>
    <x v="4"/>
    <x v="1"/>
    <n v="5000"/>
    <n v="8.9135775178182417"/>
    <n v="560.94200000000001"/>
    <x v="10"/>
    <s v="CA-AU-R10"/>
    <s v="PALF"/>
    <s v="Wildcat 2025"/>
    <s v="CONGO"/>
    <m/>
    <m/>
    <m/>
  </r>
  <r>
    <d v="2025-08-25T00:00:00"/>
    <s v="Paiement salaire du mois d'Août 2025/BAVOUMINA NZOUSSI Dina Parfaite/3654421"/>
    <x v="2"/>
    <x v="1"/>
    <n v="258800"/>
    <n v="461.3667723222722"/>
    <n v="560.94200000000001"/>
    <x v="2"/>
    <s v="BQ-AU-R8"/>
    <s v="PALF"/>
    <s v="Wildcat 2025"/>
    <s v="CONGO"/>
    <m/>
    <m/>
    <m/>
  </r>
  <r>
    <d v="2025-08-25T00:00:00"/>
    <s v="Paiement salaire du mois d'Août 2025/FOUMBA Roderlin/3654424"/>
    <x v="2"/>
    <x v="5"/>
    <n v="228800"/>
    <n v="407.88530721536273"/>
    <n v="560.94200000000001"/>
    <x v="2"/>
    <s v="BQ-AU-R9"/>
    <s v="PALF"/>
    <s v="Wildcat 2025"/>
    <s v="CONGO"/>
    <m/>
    <m/>
    <m/>
  </r>
  <r>
    <d v="2025-08-25T00:00:00"/>
    <s v="Paiement salaire du mois d'Août 2025/BOUNGOU MAKOSSO Abraham/3654423"/>
    <x v="2"/>
    <x v="5"/>
    <n v="228800"/>
    <n v="407.88530721536273"/>
    <n v="560.94200000000001"/>
    <x v="2"/>
    <s v="BQ-AU-R10"/>
    <s v="PALF"/>
    <s v="Wildcat 2025"/>
    <s v="CONGO"/>
    <m/>
    <m/>
    <m/>
  </r>
  <r>
    <d v="2025-08-25T00:00:00"/>
    <s v="Paiement salaire du mois d'Août 2025/Crepin IBOUILI-IBOUILI"/>
    <x v="2"/>
    <x v="5"/>
    <n v="390827"/>
    <n v="696.73335211126994"/>
    <n v="560.94200000000001"/>
    <x v="2"/>
    <s v="BQ-AU-R11"/>
    <s v="PALF"/>
    <s v="Wildcat 2025"/>
    <s v="CONGO"/>
    <m/>
    <m/>
    <m/>
  </r>
  <r>
    <d v="2025-08-25T00:00:00"/>
    <s v="Paiement salaire du mois d'Août 2025/PINDI BINGA Donald- Roméo"/>
    <x v="2"/>
    <x v="5"/>
    <n v="328000"/>
    <n v="584.73068516887668"/>
    <n v="560.94200000000001"/>
    <x v="2"/>
    <s v="BQ-AU-R12"/>
    <s v="PALF"/>
    <s v="Wildcat 2025"/>
    <s v="CONGO"/>
    <m/>
    <m/>
    <m/>
  </r>
  <r>
    <d v="2025-08-25T00:00:00"/>
    <s v="Paiement salaire du mois d'Août 2025/Evariste LELOUSSI"/>
    <x v="2"/>
    <x v="3"/>
    <n v="266940"/>
    <n v="475.87807652128026"/>
    <n v="560.94200000000001"/>
    <x v="2"/>
    <s v="BQ-AU-R13"/>
    <s v="PALF"/>
    <s v="Wildcat 2025"/>
    <s v="CONGO"/>
    <m/>
    <m/>
    <m/>
  </r>
  <r>
    <d v="2025-08-25T00:00:00"/>
    <s v="Paiement salaire du mois d'Août 2025/LOUNDOU JeanRomain/3654422"/>
    <x v="2"/>
    <x v="5"/>
    <n v="228800"/>
    <n v="407.88530721536273"/>
    <n v="560.94200000000001"/>
    <x v="2"/>
    <s v="BQ-AU-R14"/>
    <s v="PALF"/>
    <s v="Wildcat 2025"/>
    <s v="CONGO"/>
    <m/>
    <m/>
    <m/>
  </r>
  <r>
    <d v="2025-08-25T00:00:00"/>
    <s v="Paiement salaire du mois d'Août 2025/Homéfa DOVI/3654425"/>
    <x v="2"/>
    <x v="0"/>
    <n v="1311000"/>
    <n v="2337.1400251719429"/>
    <n v="560.94200000000001"/>
    <x v="2"/>
    <s v="BQ-AU-R15"/>
    <s v="PALF"/>
    <s v="Wildcat 2025"/>
    <s v="CONGO"/>
    <m/>
    <m/>
    <m/>
  </r>
  <r>
    <d v="2025-08-25T00:00:00"/>
    <s v="Frais de virement salaire du mois d'Août 2025"/>
    <x v="15"/>
    <x v="1"/>
    <n v="10665"/>
    <n v="19.012660845506307"/>
    <n v="560.94200000000001"/>
    <x v="2"/>
    <s v="BQ-AU-R16"/>
    <s v="PALF"/>
    <s v="Wildcat 2025"/>
    <s v="CONGO"/>
    <m/>
    <m/>
    <m/>
  </r>
  <r>
    <d v="2025-08-26T00:00:00"/>
    <s v="Maison-Bureau"/>
    <x v="0"/>
    <x v="0"/>
    <n v="1000"/>
    <n v="1.7827155035636482"/>
    <n v="560.94200000000001"/>
    <x v="0"/>
    <s v="DH-AU-D1"/>
    <s v="PALF"/>
    <s v="Wildcat 2025"/>
    <s v="CONGO"/>
    <m/>
    <m/>
    <m/>
  </r>
  <r>
    <d v="2025-08-26T00:00:00"/>
    <s v="Bureau-Maison"/>
    <x v="0"/>
    <x v="0"/>
    <n v="1000"/>
    <m/>
    <n v="560.94200000000001"/>
    <x v="0"/>
    <s v="DH-AU-D1"/>
    <s v="PALF"/>
    <s v="Wildcat 2025"/>
    <s v="CONGO"/>
    <m/>
    <m/>
    <m/>
  </r>
  <r>
    <d v="2025-08-26T00:00:00"/>
    <s v="Taxi moto: Hôtel Mithé-Gendarmerie"/>
    <x v="0"/>
    <x v="5"/>
    <n v="500"/>
    <n v="0.89135775178182408"/>
    <n v="560.94200000000001"/>
    <x v="8"/>
    <s v="CR-AU-D1"/>
    <s v="PALF"/>
    <s v="Wildcat 2025"/>
    <s v="CONGO"/>
    <m/>
    <m/>
    <m/>
  </r>
  <r>
    <d v="2025-08-26T00:00:00"/>
    <s v="Bonus pour 16 gendarmes ayant participé à l'opération"/>
    <x v="7"/>
    <x v="6"/>
    <n v="160000"/>
    <n v="285.23448057018373"/>
    <n v="560.94200000000001"/>
    <x v="8"/>
    <s v="CR-AU-R1-9"/>
    <s v="PALF"/>
    <s v="Wildcat 2025"/>
    <s v="CONGO"/>
    <m/>
    <m/>
    <m/>
  </r>
  <r>
    <d v="2025-08-26T00:00:00"/>
    <s v="Bonus pour 02 EF ayant participé à l'opération"/>
    <x v="7"/>
    <x v="6"/>
    <n v="20000"/>
    <n v="35.654310071272967"/>
    <n v="560.94200000000001"/>
    <x v="8"/>
    <s v="CR-AU-R1-10"/>
    <s v="PALF"/>
    <s v="Wildcat 2025"/>
    <s v="CONGO"/>
    <m/>
    <m/>
    <m/>
  </r>
  <r>
    <d v="2025-08-26T00:00:00"/>
    <s v="Taxi moto: Gendarmerie-Hôtel"/>
    <x v="0"/>
    <x v="5"/>
    <n v="500"/>
    <n v="0.89135775178182408"/>
    <n v="560.94200000000001"/>
    <x v="8"/>
    <s v="CR-AU-D1"/>
    <s v="PALF"/>
    <s v="Wildcat 2025"/>
    <s v="CONGO"/>
    <m/>
    <m/>
    <m/>
  </r>
  <r>
    <d v="2025-08-26T00:00:00"/>
    <s v="Taxi: Bureau - Charden Farell/transfert d'argent à Crépin , Evariste et Donald-Roméo"/>
    <x v="0"/>
    <x v="1"/>
    <n v="500"/>
    <n v="0.89135775178182408"/>
    <n v="560.94200000000001"/>
    <x v="1"/>
    <s v="P-AU-D1"/>
    <s v="PALF"/>
    <s v="Wildcat 2025"/>
    <s v="CONGO"/>
    <m/>
    <m/>
    <m/>
  </r>
  <r>
    <d v="2025-08-26T00:00:00"/>
    <s v="Taxi: Charden Farell- Bureau/transferft d'argent"/>
    <x v="0"/>
    <x v="1"/>
    <n v="500"/>
    <n v="0.89135775178182408"/>
    <n v="560.94200000000001"/>
    <x v="1"/>
    <s v="P-AU-D1"/>
    <s v="PALF"/>
    <s v="Wildcat 2025"/>
    <s v="CONGO"/>
    <m/>
    <m/>
    <m/>
  </r>
  <r>
    <d v="2025-08-26T00:00:00"/>
    <s v="P29 -CONGO Frais d'hotel du 23 au 26/08/2025 à Impfondo lieu op(T73) (03 Nuitées)"/>
    <x v="7"/>
    <x v="2"/>
    <n v="75000"/>
    <n v="133.70366276727361"/>
    <n v="560.94200000000001"/>
    <x v="3"/>
    <s v="P29-AU-R10"/>
    <s v="PALF"/>
    <s v="Wildcat 2025"/>
    <s v="CONGO"/>
    <m/>
    <m/>
    <m/>
  </r>
  <r>
    <d v="2025-08-26T00:00:00"/>
    <s v="P29 -CONGO Frais d'hotel du 23 au 26/08/2025 à Impfondo lieu op(Crépin) (03 Nuitées)"/>
    <x v="7"/>
    <x v="2"/>
    <n v="75000"/>
    <n v="133.70366276727361"/>
    <n v="560.94200000000001"/>
    <x v="3"/>
    <s v="P29-AU-R11"/>
    <s v="PALF"/>
    <s v="Wildcat 2025"/>
    <s v="CONGO"/>
    <m/>
    <m/>
    <m/>
  </r>
  <r>
    <d v="2025-08-26T00:00:00"/>
    <s v="Taxi moto : hotel paulina - centre ville ( prospection a enyele)"/>
    <x v="0"/>
    <x v="2"/>
    <n v="500"/>
    <n v="0.89135775178182408"/>
    <n v="560.94200000000001"/>
    <x v="4"/>
    <s v="T73-AU-D1"/>
    <s v="PALF"/>
    <s v="Wildcat 2025"/>
    <s v="CONGO"/>
    <m/>
    <m/>
    <m/>
  </r>
  <r>
    <d v="2025-08-26T00:00:00"/>
    <s v="Taxi moto : centre ville - hotel ( prospection a enyele)"/>
    <x v="0"/>
    <x v="2"/>
    <n v="500"/>
    <n v="0.89135775178182408"/>
    <n v="560.94200000000001"/>
    <x v="4"/>
    <s v="T73-AU-D1"/>
    <s v="PALF"/>
    <s v="Wildcat 2025"/>
    <s v="CONGO"/>
    <m/>
    <m/>
    <m/>
  </r>
  <r>
    <d v="2025-08-26T00:00:00"/>
    <s v="Achat eau mineral 10 LITRES/Bureau"/>
    <x v="8"/>
    <x v="7"/>
    <n v="25000"/>
    <n v="44.567887589091207"/>
    <n v="560.94200000000001"/>
    <x v="11"/>
    <s v="CA-AU-R13"/>
    <s v="PALF"/>
    <s v="Wildcat 2025"/>
    <s v="CONGO"/>
    <m/>
    <m/>
    <m/>
  </r>
  <r>
    <d v="2025-08-26T00:00:00"/>
    <s v="Taxi moto Hôtel Mithé-La Brigade de Recherche/ Pour la visite geôle du 26/08/2025 à 07h"/>
    <x v="9"/>
    <x v="5"/>
    <n v="500"/>
    <n v="0.89135775178182408"/>
    <n v="560.94200000000001"/>
    <x v="9"/>
    <s v="DR-AU-D1"/>
    <s v="PALF"/>
    <s v="Wildcat 2025"/>
    <s v="CONGO"/>
    <m/>
    <m/>
    <m/>
  </r>
  <r>
    <d v="2025-08-26T00:00:00"/>
    <s v="Ration d'une prevenue/ MOUKAHOU Clarisse/ A la gandarmerie d'Impfondo/Matin"/>
    <x v="12"/>
    <x v="5"/>
    <n v="1500"/>
    <n v="2.6740732553454722"/>
    <n v="560.94200000000001"/>
    <x v="9"/>
    <s v="DR-AU-D3"/>
    <s v="PALF"/>
    <s v="Wildcat 2025"/>
    <s v="CONGO"/>
    <m/>
    <m/>
    <m/>
  </r>
  <r>
    <d v="2025-08-26T00:00:00"/>
    <s v="Taxi moto La Brigade de Recherche- Hôtel Mithé"/>
    <x v="9"/>
    <x v="5"/>
    <n v="500"/>
    <n v="0.89135775178182408"/>
    <n v="560.94200000000001"/>
    <x v="9"/>
    <s v="DR-AU-D1"/>
    <s v="PALF"/>
    <s v="Wildcat 2025"/>
    <s v="CONGO"/>
    <m/>
    <m/>
    <m/>
  </r>
  <r>
    <d v="2025-08-26T00:00:00"/>
    <s v="Taxi moto Hôtel Mithé-La gendarmerie/ Auditions"/>
    <x v="9"/>
    <x v="5"/>
    <n v="500"/>
    <n v="0.89135775178182408"/>
    <n v="560.94200000000001"/>
    <x v="9"/>
    <s v="DR-AU-D1"/>
    <s v="PALF"/>
    <s v="Wildcat 2025"/>
    <s v="CONGO"/>
    <m/>
    <m/>
    <m/>
  </r>
  <r>
    <d v="2025-08-26T00:00:00"/>
    <s v="Taxi moto La gendarmerie- Hôtel Mithé"/>
    <x v="9"/>
    <x v="5"/>
    <n v="500"/>
    <n v="0.89135775178182408"/>
    <n v="560.94200000000001"/>
    <x v="9"/>
    <s v="DR-AU-D1"/>
    <s v="PALF"/>
    <s v="Wildcat 2025"/>
    <s v="CONGO"/>
    <m/>
    <m/>
    <m/>
  </r>
  <r>
    <d v="2025-08-26T00:00:00"/>
    <s v="Taxi moto Hôtel Mithé-La Brigade de Recherche/ Pour la visite geôle du 26/08/2025 à 20h"/>
    <x v="9"/>
    <x v="5"/>
    <n v="500"/>
    <n v="0.89135775178182408"/>
    <n v="560.94200000000001"/>
    <x v="9"/>
    <s v="DR-AU-D1"/>
    <s v="PALF"/>
    <s v="Wildcat 2025"/>
    <s v="CONGO"/>
    <m/>
    <m/>
    <m/>
  </r>
  <r>
    <d v="2025-08-26T00:00:00"/>
    <s v="Ration d'une prevenue/ MOUKAHOU Clarisse/ A la gandarmerie d'Impfondo/Soir"/>
    <x v="12"/>
    <x v="5"/>
    <n v="1500"/>
    <n v="2.6740732553454722"/>
    <n v="560.94200000000001"/>
    <x v="9"/>
    <s v="DR-AU-D3"/>
    <s v="PALF"/>
    <s v="Wildcat 2025"/>
    <s v="CONGO"/>
    <m/>
    <m/>
    <m/>
  </r>
  <r>
    <d v="2025-08-26T00:00:00"/>
    <s v="Taxi moto La Brigade de Recherche- Hôtel Mithé"/>
    <x v="9"/>
    <x v="5"/>
    <n v="500"/>
    <n v="0.89135775178182408"/>
    <n v="560.94200000000001"/>
    <x v="9"/>
    <s v="DR-AU-D1"/>
    <s v="PALF"/>
    <s v="Wildcat 2025"/>
    <s v="CONGO"/>
    <m/>
    <m/>
    <m/>
  </r>
  <r>
    <d v="2025-08-26T00:00:00"/>
    <s v="Taxi moto, Hôtel Mithé2-Region de gendarmerie"/>
    <x v="0"/>
    <x v="3"/>
    <n v="500"/>
    <n v="0.89135775178182408"/>
    <n v="560.94200000000001"/>
    <x v="7"/>
    <s v="EV-AU-D1"/>
    <s v="PALF"/>
    <s v="Wildcat 2025"/>
    <s v="CONGO"/>
    <m/>
    <m/>
    <m/>
  </r>
  <r>
    <d v="2025-08-26T00:00:00"/>
    <s v="Taxi moto, Région de gendarmerie-Charden Farell"/>
    <x v="0"/>
    <x v="3"/>
    <n v="500"/>
    <n v="0.89135775178182408"/>
    <n v="560.94200000000001"/>
    <x v="7"/>
    <s v="EV-AU-D1"/>
    <s v="PALF"/>
    <s v="Wildcat 2025"/>
    <s v="CONGO"/>
    <m/>
    <m/>
    <m/>
  </r>
  <r>
    <d v="2025-08-26T00:00:00"/>
    <s v="Taxi moto, Charden Farell-Region de gendarmerie"/>
    <x v="0"/>
    <x v="3"/>
    <n v="500"/>
    <n v="0.89135775178182408"/>
    <n v="560.94200000000001"/>
    <x v="7"/>
    <s v="EV-AU-D1"/>
    <s v="PALF"/>
    <s v="Wildcat 2025"/>
    <s v="CONGO"/>
    <m/>
    <m/>
    <m/>
  </r>
  <r>
    <d v="2025-08-26T00:00:00"/>
    <s v="Taxi moto, Région de Gendarmerie-Hôtel Mithé2"/>
    <x v="0"/>
    <x v="3"/>
    <n v="500"/>
    <n v="0.89135775178182408"/>
    <n v="560.94200000000001"/>
    <x v="7"/>
    <s v="EV-AU-D1"/>
    <s v="PALF"/>
    <s v="Wildcat 2025"/>
    <s v="CONGO"/>
    <m/>
    <m/>
    <m/>
  </r>
  <r>
    <d v="2025-08-26T00:00:00"/>
    <s v="Bonus media portant sur le bilan des activités PALF de Janvier à Juillet pièces presse Internet (https://www.panoramik-actu.com)"/>
    <x v="16"/>
    <x v="3"/>
    <n v="6000"/>
    <n v="10.696293021381889"/>
    <n v="560.94200000000001"/>
    <x v="7"/>
    <s v="CA-AU-D1"/>
    <s v="PALF"/>
    <s v="Wildcat 2025"/>
    <s v="CONGO"/>
    <m/>
    <m/>
    <m/>
  </r>
  <r>
    <d v="2025-08-26T00:00:00"/>
    <s v="Bonus media portant sur le bilan des activités PALF de Janvier à Juillet pièces presse Internet (https://www.tribune-eco.cg)"/>
    <x v="16"/>
    <x v="3"/>
    <n v="6000"/>
    <n v="10.696293021381889"/>
    <n v="560.94200000000001"/>
    <x v="7"/>
    <s v="CA-AU-D1"/>
    <s v="PALF"/>
    <s v="Wildcat 2025"/>
    <s v="CONGO"/>
    <m/>
    <m/>
    <m/>
  </r>
  <r>
    <d v="2025-08-26T00:00:00"/>
    <s v="Bonus media portant sur le bilan des activités PALF de Janvier à Juillet pièces presse Internet (https://www.groupecongomedias.com)"/>
    <x v="16"/>
    <x v="3"/>
    <n v="6000"/>
    <n v="10.696293021381889"/>
    <n v="560.94200000000001"/>
    <x v="7"/>
    <s v="CA-AU-D1"/>
    <s v="PALF"/>
    <s v="Wildcat 2025"/>
    <s v="CONGO"/>
    <m/>
    <m/>
    <m/>
  </r>
  <r>
    <d v="2025-08-26T00:00:00"/>
    <s v="Bonus media portant sur le bilan des activités PALF de Janvier à Juillet pièces presse Internet (https://www.labreveonline.com)"/>
    <x v="16"/>
    <x v="3"/>
    <n v="6000"/>
    <n v="10.696293021381889"/>
    <n v="560.94200000000001"/>
    <x v="7"/>
    <s v="CA-AU-D1"/>
    <s v="PALF"/>
    <s v="Wildcat 2025"/>
    <s v="CONGO"/>
    <m/>
    <m/>
    <m/>
  </r>
  <r>
    <d v="2025-08-26T00:00:00"/>
    <s v="Bonus media portant sur le bilan des activités PALF de Janvier à Juillet pièces presse Internet (https://www.adiac-congo.com)"/>
    <x v="16"/>
    <x v="3"/>
    <n v="6000"/>
    <n v="10.696293021381889"/>
    <n v="560.94200000000001"/>
    <x v="7"/>
    <s v="CA-AU-D1"/>
    <s v="PALF"/>
    <s v="Wildcat 2025"/>
    <s v="CONGO"/>
    <m/>
    <m/>
    <m/>
  </r>
  <r>
    <d v="2025-08-26T00:00:00"/>
    <s v="Bonus media portant sur le bilan des activités PALF de Janvier à Juillet pièces presse Internet (https://www.lasemaineafricaine.info)"/>
    <x v="16"/>
    <x v="3"/>
    <n v="6000"/>
    <n v="10.696293021381889"/>
    <n v="560.94200000000001"/>
    <x v="7"/>
    <s v="CA-AU-D1"/>
    <s v="PALF"/>
    <s v="Wildcat 2025"/>
    <s v="CONGO"/>
    <m/>
    <m/>
    <m/>
  </r>
  <r>
    <d v="2025-08-26T00:00:00"/>
    <s v="Bonus media portant sur le bilan des activités PALF de Janvier à Juillet pièces presse Internet (https://www.matinlibre.cg)"/>
    <x v="16"/>
    <x v="3"/>
    <n v="6000"/>
    <n v="10.696293021381889"/>
    <n v="560.94200000000001"/>
    <x v="7"/>
    <s v="CA-AU-D1"/>
    <s v="PALF"/>
    <s v="Wildcat 2025"/>
    <s v="CONGO"/>
    <m/>
    <m/>
    <m/>
  </r>
  <r>
    <d v="2025-08-26T00:00:00"/>
    <s v="Bonus media portant sur le bilan des activités PALF de Janvier à Juillet pièces presse Internet (https://www.firstmediac.com)"/>
    <x v="16"/>
    <x v="3"/>
    <n v="6000"/>
    <n v="10.696293021381889"/>
    <n v="560.94200000000001"/>
    <x v="7"/>
    <s v="CA-AU-D1"/>
    <s v="PALF"/>
    <s v="Wildcat 2025"/>
    <s v="CONGO"/>
    <m/>
    <m/>
    <m/>
  </r>
  <r>
    <d v="2025-08-26T00:00:00"/>
    <s v="Bonus media portant sur le bilan des activités PALF de Janvier à Juillet pièces presse Internet (https://www.journaldebrazza.com)"/>
    <x v="16"/>
    <x v="3"/>
    <n v="6000"/>
    <n v="10.696293021381889"/>
    <n v="560.94200000000001"/>
    <x v="7"/>
    <s v="CA-AU-D1"/>
    <s v="PALF"/>
    <s v="Wildcat 2025"/>
    <s v="CONGO"/>
    <m/>
    <m/>
    <m/>
  </r>
  <r>
    <d v="2025-08-26T00:00:00"/>
    <s v="Bonus media portant sur le bilan des activités PALF de Janvier à Juillet pièces presse Internet (https://vmmedias.info)"/>
    <x v="16"/>
    <x v="3"/>
    <n v="6000"/>
    <n v="10.696293021381889"/>
    <n v="560.94200000000001"/>
    <x v="7"/>
    <s v="CA-AU-D1"/>
    <s v="PALF"/>
    <s v="Wildcat 2025"/>
    <s v="CONGO"/>
    <m/>
    <m/>
    <m/>
  </r>
  <r>
    <d v="2025-08-26T00:00:00"/>
    <s v="Bonus media portant sur le bilan des activités PALF de Janvier à Juillet pièces presse Internet (https://aci.cg)"/>
    <x v="16"/>
    <x v="3"/>
    <n v="6000"/>
    <n v="10.696293021381889"/>
    <n v="560.94200000000001"/>
    <x v="7"/>
    <s v="CA-AU-D1"/>
    <s v="PALF"/>
    <s v="Wildcat 2025"/>
    <s v="CONGO"/>
    <m/>
    <m/>
    <m/>
  </r>
  <r>
    <d v="2025-08-26T00:00:00"/>
    <s v="Bonus media portant sur le bilan des activités PALF de Janvier à Juillet pièces presse Internet (https://lesechos-congobrazza.com/)"/>
    <x v="16"/>
    <x v="3"/>
    <n v="6000"/>
    <n v="10.696293021381889"/>
    <n v="560.94200000000001"/>
    <x v="7"/>
    <s v="CA-AU-D1"/>
    <s v="PALF"/>
    <s v="Wildcat 2025"/>
    <s v="CONGO"/>
    <m/>
    <m/>
    <m/>
  </r>
  <r>
    <d v="2025-08-26T00:00:00"/>
    <s v="Bonus media portant sur le bilan des activités PALF de Janvier à Juillet pièces presse Internet (https://opinionpublique.cg)"/>
    <x v="16"/>
    <x v="3"/>
    <n v="6000"/>
    <n v="10.696293021381889"/>
    <n v="560.94200000000001"/>
    <x v="7"/>
    <s v="CA-AU-D1"/>
    <s v="PALF"/>
    <s v="Wildcat 2025"/>
    <s v="CONGO"/>
    <m/>
    <m/>
    <m/>
  </r>
  <r>
    <d v="2025-08-26T00:00:00"/>
    <s v="Bonus media portant sur le bilan des activités PALF de Janvier à Juillet pièces presse Internet (https://www.lhorizonafricain.com)"/>
    <x v="16"/>
    <x v="3"/>
    <n v="6000"/>
    <n v="10.696293021381889"/>
    <n v="560.94200000000001"/>
    <x v="7"/>
    <s v="CA-AU-D1"/>
    <s v="PALF"/>
    <s v="Wildcat 2025"/>
    <s v="CONGO"/>
    <m/>
    <m/>
    <m/>
  </r>
  <r>
    <d v="2025-08-26T00:00:00"/>
    <s v="Bonus media portant sur le bilan des activités PALF de Janvier à Juillet pièces presse Papier (Dépêches de Brazzaville)"/>
    <x v="16"/>
    <x v="3"/>
    <n v="10000"/>
    <n v="17.827155035636483"/>
    <n v="560.94200000000001"/>
    <x v="7"/>
    <s v="CA-AU-D2"/>
    <s v="PALF"/>
    <s v="Wildcat 2025"/>
    <s v="CONGO"/>
    <m/>
    <m/>
    <m/>
  </r>
  <r>
    <d v="2025-08-26T00:00:00"/>
    <s v="Bonus media portant sur le bilan des activités PALF de Janvier à Juillet pièces presse Papier (la semaine Africaine)"/>
    <x v="16"/>
    <x v="3"/>
    <n v="10000"/>
    <n v="17.827155035636483"/>
    <n v="560.94200000000001"/>
    <x v="7"/>
    <s v="CA-AU-D2"/>
    <s v="PALF"/>
    <s v="Wildcat 2025"/>
    <s v="CONGO"/>
    <m/>
    <m/>
    <m/>
  </r>
  <r>
    <d v="2025-08-26T00:00:00"/>
    <s v="Bonus media portant sur le bilan des activités PALF de Janvier à Juillet pièces presse Papier( l'horizon Africain)"/>
    <x v="16"/>
    <x v="3"/>
    <n v="10000"/>
    <n v="17.827155035636483"/>
    <n v="560.94200000000001"/>
    <x v="7"/>
    <s v="CA-AU-D2"/>
    <s v="PALF"/>
    <s v="Wildcat 2025"/>
    <s v="CONGO"/>
    <m/>
    <m/>
    <m/>
  </r>
  <r>
    <d v="2025-08-26T00:00:00"/>
    <s v="Bonus media portant sur le bilan des activités PALF de Janvier à Juillet pièces presse Papier (l'Agence congolaise de l'information)"/>
    <x v="16"/>
    <x v="3"/>
    <n v="10000"/>
    <n v="17.827155035636483"/>
    <n v="560.94200000000001"/>
    <x v="7"/>
    <s v="CA-AU-D2"/>
    <s v="PALF"/>
    <s v="Wildcat 2025"/>
    <s v="CONGO"/>
    <m/>
    <m/>
    <m/>
  </r>
  <r>
    <d v="2025-08-26T00:00:00"/>
    <s v="Bonus media portant sur le bilan des activités PALF de Janvier à Juillet pièces Radio, (Radio Citoyenne des Jeunes)"/>
    <x v="16"/>
    <x v="3"/>
    <n v="6000"/>
    <n v="10.696293021381889"/>
    <n v="560.94200000000001"/>
    <x v="7"/>
    <s v="CA-AU-D3"/>
    <s v="PALF"/>
    <s v="Wildcat 2025"/>
    <s v="CONGO"/>
    <m/>
    <m/>
    <m/>
  </r>
  <r>
    <d v="2025-08-26T00:00:00"/>
    <s v="Taxi: Bureau-Charden Farell/Pour le transfert d'argent"/>
    <x v="0"/>
    <x v="5"/>
    <n v="500"/>
    <n v="0.89135775178182408"/>
    <n v="560.94200000000001"/>
    <x v="10"/>
    <s v="RM-AU-D1"/>
    <s v="PALF"/>
    <s v="Wildcat 2025"/>
    <s v="CONGO"/>
    <m/>
    <m/>
    <m/>
  </r>
  <r>
    <d v="2025-08-26T00:00:00"/>
    <s v="Frais de tansfert d'argent à Evariste"/>
    <x v="11"/>
    <x v="1"/>
    <n v="3900"/>
    <n v="6.9525904638982281"/>
    <n v="560.94200000000001"/>
    <x v="10"/>
    <s v="CA-AU-R12"/>
    <s v="PALF"/>
    <s v="Wildcat 2025"/>
    <s v="CONGO"/>
    <m/>
    <m/>
    <m/>
  </r>
  <r>
    <d v="2025-08-26T00:00:00"/>
    <s v="Taxi: Charden Farell-Bureau"/>
    <x v="0"/>
    <x v="5"/>
    <n v="500"/>
    <n v="0.89135775178182408"/>
    <n v="560.94200000000001"/>
    <x v="10"/>
    <s v="RM-AU-D1"/>
    <s v="PALF"/>
    <s v="Wildcat 2025"/>
    <s v="CONGO"/>
    <m/>
    <m/>
    <m/>
  </r>
  <r>
    <d v="2025-08-27T00:00:00"/>
    <s v="Maison-Bureau"/>
    <x v="0"/>
    <x v="0"/>
    <n v="1000"/>
    <n v="1.7827155035636482"/>
    <n v="560.94200000000001"/>
    <x v="0"/>
    <s v="DH-AU-D1"/>
    <s v="PALF"/>
    <s v="Wildcat 2025"/>
    <s v="CONGO"/>
    <m/>
    <m/>
    <m/>
  </r>
  <r>
    <d v="2025-08-27T00:00:00"/>
    <s v="Bureau-Maison"/>
    <x v="0"/>
    <x v="0"/>
    <n v="1000"/>
    <n v="1.7827155035636482"/>
    <n v="560.94200000000001"/>
    <x v="0"/>
    <s v="DH-AU-D1"/>
    <s v="PALF"/>
    <s v="Wildcat 2025"/>
    <s v="CONGO"/>
    <m/>
    <m/>
    <m/>
  </r>
  <r>
    <d v="2025-08-27T00:00:00"/>
    <s v="Taxi moto: Hôtel-Gendarmerie"/>
    <x v="0"/>
    <x v="5"/>
    <n v="500"/>
    <n v="0.89135775178182408"/>
    <n v="560.94200000000001"/>
    <x v="8"/>
    <s v="CR-AU-D1"/>
    <s v="PALF"/>
    <s v="Wildcat 2025"/>
    <s v="CONGO"/>
    <m/>
    <m/>
    <m/>
  </r>
  <r>
    <d v="2025-08-27T00:00:00"/>
    <s v="Taxi moto: Gendarmerie-Hôtel Mithé"/>
    <x v="0"/>
    <x v="5"/>
    <n v="500"/>
    <n v="0.89135775178182408"/>
    <n v="560.94200000000001"/>
    <x v="8"/>
    <s v="CR-AU-D1"/>
    <s v="PALF"/>
    <s v="Wildcat 2025"/>
    <s v="CONGO"/>
    <m/>
    <m/>
    <m/>
  </r>
  <r>
    <d v="2025-08-27T00:00:00"/>
    <s v=" Frais de prestation de nettoyage jardin PALF Août 2025"/>
    <x v="4"/>
    <x v="1"/>
    <n v="20000"/>
    <n v="35.654310071272967"/>
    <n v="560.94200000000001"/>
    <x v="1"/>
    <s v="CA-AU-R16"/>
    <s v="PALF"/>
    <s v="Wildcat 2025"/>
    <s v="CONGO"/>
    <m/>
    <m/>
    <m/>
  </r>
  <r>
    <d v="2025-08-27T00:00:00"/>
    <s v="Reglement prestation de nettoyage  PALF du mois de Août 2025"/>
    <x v="4"/>
    <x v="1"/>
    <n v="75625"/>
    <n v="134.81785995700091"/>
    <n v="560.94200000000001"/>
    <x v="1"/>
    <s v="CA-AU-R17"/>
    <s v="PALF"/>
    <s v="Wildcat 2025"/>
    <s v="CONGO"/>
    <m/>
    <m/>
    <m/>
  </r>
  <r>
    <d v="2025-08-27T00:00:00"/>
    <s v="Frais de tansfert d'argent à crépin, Donald-Roméo et Evariste "/>
    <x v="11"/>
    <x v="1"/>
    <n v="10020"/>
    <n v="17.862809345707756"/>
    <n v="560.94200000000001"/>
    <x v="1"/>
    <s v="CA-AU-R18"/>
    <s v="PALF"/>
    <s v="Wildcat 2025"/>
    <s v="CONGO"/>
    <m/>
    <m/>
    <m/>
  </r>
  <r>
    <d v="2025-08-27T00:00:00"/>
    <s v="Taxi : Bureau - Mitoko/ Prospection"/>
    <x v="0"/>
    <x v="2"/>
    <n v="2000"/>
    <n v="3.5654310071272963"/>
    <n v="560.94200000000001"/>
    <x v="5"/>
    <s v="IT87-AU-D1"/>
    <s v="PALF"/>
    <s v="Wildcat 2025"/>
    <s v="CONGO"/>
    <m/>
    <m/>
    <m/>
  </r>
  <r>
    <d v="2025-08-27T00:00:00"/>
    <s v="Taxi : Mitoko - PK/ Prospection"/>
    <x v="0"/>
    <x v="2"/>
    <n v="2000"/>
    <n v="3.5654310071272963"/>
    <n v="560.94200000000001"/>
    <x v="5"/>
    <s v="IT87-AU-D1"/>
    <s v="PALF"/>
    <s v="Wildcat 2025"/>
    <s v="CONGO"/>
    <m/>
    <m/>
    <m/>
  </r>
  <r>
    <d v="2025-08-27T00:00:00"/>
    <s v="Taxi : PK - Kinsoundi/ Prospection"/>
    <x v="0"/>
    <x v="2"/>
    <n v="1000"/>
    <n v="1.7827155035636482"/>
    <n v="560.94200000000001"/>
    <x v="5"/>
    <s v="IT87-AU-D1"/>
    <s v="PALF"/>
    <s v="Wildcat 2025"/>
    <s v="CONGO"/>
    <m/>
    <m/>
    <m/>
  </r>
  <r>
    <d v="2025-08-27T00:00:00"/>
    <s v="Taxi : Kinsoundi - Domicile/ Retour de prospection"/>
    <x v="0"/>
    <x v="2"/>
    <n v="1500"/>
    <n v="2.6740732553454722"/>
    <n v="560.94200000000001"/>
    <x v="5"/>
    <s v="IT87-AU-D1"/>
    <s v="PALF"/>
    <s v="Wildcat 2025"/>
    <s v="CONGO"/>
    <m/>
    <m/>
    <m/>
  </r>
  <r>
    <d v="2025-08-27T00:00:00"/>
    <s v="Taxi:Bureau-Agence océan du nord de la liberté pour la reservation des billets "/>
    <x v="0"/>
    <x v="5"/>
    <n v="1000"/>
    <n v="1.7827155035636482"/>
    <n v="560.94200000000001"/>
    <x v="12"/>
    <s v="RO-AU-D1"/>
    <s v="PALF"/>
    <s v="Wildcat 2025"/>
    <s v="CONGO"/>
    <m/>
    <m/>
    <m/>
  </r>
  <r>
    <d v="2025-08-27T00:00:00"/>
    <s v="Frais de transport mission Maitre Alain à Impfondo du 28 /08au 01/09/2025"/>
    <x v="0"/>
    <x v="5"/>
    <n v="84000"/>
    <n v="149.74810229934644"/>
    <n v="560.94200000000001"/>
    <x v="12"/>
    <s v="CA-AU-R14"/>
    <s v="PALF"/>
    <s v="Wildcat 2025"/>
    <s v="CONGO"/>
    <m/>
    <m/>
    <m/>
  </r>
  <r>
    <d v="2025-08-27T00:00:00"/>
    <s v="Taxi:Agence Océan du nord de la liberté-Bureau"/>
    <x v="0"/>
    <x v="5"/>
    <n v="1000"/>
    <n v="1.7827155035636482"/>
    <n v="560.94200000000001"/>
    <x v="12"/>
    <s v="RO-AU-D1"/>
    <s v="PALF"/>
    <s v="Wildcat 2025"/>
    <s v="CONGO"/>
    <m/>
    <m/>
    <m/>
  </r>
  <r>
    <d v="2025-08-27T00:00:00"/>
    <s v="Ration et frais d'hotel mission maitre Alain à Impfondo du 28/08 au 01/09/2025"/>
    <x v="7"/>
    <x v="5"/>
    <n v="100000"/>
    <n v="178.27155035636483"/>
    <n v="560.94200000000001"/>
    <x v="12"/>
    <s v="CA-AU-R15"/>
    <s v="PALF"/>
    <s v="Wildcat 2025"/>
    <s v="CONGO"/>
    <m/>
    <m/>
    <m/>
  </r>
  <r>
    <d v="2025-08-27T00:00:00"/>
    <s v="Taxi:Bureau-Cabinet BANZOUZI pour la rémise du budget"/>
    <x v="0"/>
    <x v="5"/>
    <n v="1000"/>
    <n v="1.7827155035636482"/>
    <n v="560.94200000000001"/>
    <x v="12"/>
    <s v="RO-AU-D1"/>
    <s v="PALF"/>
    <s v="Wildcat 2025"/>
    <s v="CONGO"/>
    <m/>
    <m/>
    <m/>
  </r>
  <r>
    <d v="2025-08-27T00:00:00"/>
    <s v="Taxi:Cabinet BANZOUZI-Bureau"/>
    <x v="0"/>
    <x v="5"/>
    <n v="1000"/>
    <n v="1.7827155035636482"/>
    <n v="560.94200000000001"/>
    <x v="12"/>
    <s v="RO-AU-D1"/>
    <s v="PALF"/>
    <s v="Wildcat 2025"/>
    <s v="CONGO"/>
    <m/>
    <m/>
    <m/>
  </r>
  <r>
    <d v="2025-08-27T00:00:00"/>
    <s v="Taxi moto Hôtel Mithé-La Brigade de Recherche/ Pour la visite geôle du 27/08/2025 à 07h"/>
    <x v="9"/>
    <x v="5"/>
    <n v="500"/>
    <n v="0.89135775178182408"/>
    <n v="560.94200000000001"/>
    <x v="9"/>
    <s v="DR-AU-D1"/>
    <s v="PALF"/>
    <s v="Wildcat 2025"/>
    <s v="CONGO"/>
    <m/>
    <m/>
    <m/>
  </r>
  <r>
    <d v="2025-08-27T00:00:00"/>
    <s v="Ration d'une prevenue/ MOUKAHOU Clarisse/ A la gandarmerie d'Impfondo/Matin"/>
    <x v="12"/>
    <x v="5"/>
    <n v="1500"/>
    <n v="2.6740732553454722"/>
    <n v="560.94200000000001"/>
    <x v="9"/>
    <s v="DR-AU-D3"/>
    <s v="PALF"/>
    <s v="Wildcat 2025"/>
    <s v="CONGO"/>
    <m/>
    <m/>
    <m/>
  </r>
  <r>
    <d v="2025-08-27T00:00:00"/>
    <s v="Taxi moto La Brigade de Recherche- Hôtel Mithé"/>
    <x v="9"/>
    <x v="5"/>
    <n v="500"/>
    <n v="0.89135775178182408"/>
    <n v="560.94200000000001"/>
    <x v="9"/>
    <s v="DR-AU-D1"/>
    <s v="PALF"/>
    <s v="Wildcat 2025"/>
    <s v="CONGO"/>
    <m/>
    <m/>
    <m/>
  </r>
  <r>
    <d v="2025-08-27T00:00:00"/>
    <s v="Taxi moto Hôtel Mithé-La gendarmerie/ Comptages des écailles"/>
    <x v="9"/>
    <x v="5"/>
    <n v="500"/>
    <n v="0.89135775178182408"/>
    <n v="560.94200000000001"/>
    <x v="9"/>
    <s v="DR-AU-D1"/>
    <s v="PALF"/>
    <s v="Wildcat 2025"/>
    <s v="CONGO"/>
    <m/>
    <m/>
    <m/>
  </r>
  <r>
    <d v="2025-08-27T00:00:00"/>
    <s v="Taxi moto La gendarmerie- DDEF/ Saisie de la procédure"/>
    <x v="9"/>
    <x v="5"/>
    <n v="500"/>
    <n v="0.89135775178182408"/>
    <n v="560.94200000000001"/>
    <x v="9"/>
    <s v="DR-AU-D1"/>
    <s v="PALF"/>
    <s v="Wildcat 2025"/>
    <s v="CONGO"/>
    <m/>
    <m/>
    <m/>
  </r>
  <r>
    <d v="2025-08-27T00:00:00"/>
    <s v="Taxi moto DDEF-Charden farell/ Retrait de fonds"/>
    <x v="9"/>
    <x v="5"/>
    <n v="500"/>
    <n v="0.89135775178182408"/>
    <n v="560.94200000000001"/>
    <x v="9"/>
    <s v="DR-AU-D1"/>
    <s v="PALF"/>
    <s v="Wildcat 2025"/>
    <s v="CONGO"/>
    <m/>
    <m/>
    <m/>
  </r>
  <r>
    <d v="2025-08-27T00:00:00"/>
    <s v="Taxi moto Charden farell-Hôtel Mithé"/>
    <x v="9"/>
    <x v="5"/>
    <n v="500"/>
    <n v="0.89135775178182408"/>
    <n v="560.94200000000001"/>
    <x v="9"/>
    <s v="DR-AU-D1"/>
    <s v="PALF"/>
    <s v="Wildcat 2025"/>
    <s v="CONGO"/>
    <m/>
    <m/>
    <m/>
  </r>
  <r>
    <d v="2025-08-27T00:00:00"/>
    <s v="Taxi moto Hôtel Mithé-La Brigade de Recherche/ Pour la visite geôle du 27/08/2025 à 20h"/>
    <x v="9"/>
    <x v="5"/>
    <n v="500"/>
    <n v="0.89135775178182408"/>
    <n v="560.94200000000001"/>
    <x v="9"/>
    <s v="DR-AU-D1"/>
    <s v="PALF"/>
    <s v="Wildcat 2025"/>
    <s v="CONGO"/>
    <m/>
    <m/>
    <m/>
  </r>
  <r>
    <d v="2025-08-27T00:00:00"/>
    <s v="Ration d'une prevenue/ MOUKAHOU Clarisse/ A la gandarmerie d'Impfondo/Soir"/>
    <x v="12"/>
    <x v="5"/>
    <n v="1500"/>
    <n v="2.6740732553454722"/>
    <n v="560.94200000000001"/>
    <x v="9"/>
    <s v="DR-AU-D3"/>
    <s v="PALF"/>
    <s v="Wildcat 2025"/>
    <s v="CONGO"/>
    <m/>
    <m/>
    <m/>
  </r>
  <r>
    <d v="2025-08-27T00:00:00"/>
    <s v="Taxi moto La Brigade de Recherche- Hôtel Mithé"/>
    <x v="9"/>
    <x v="5"/>
    <n v="500"/>
    <n v="0.89135775178182408"/>
    <n v="560.94200000000001"/>
    <x v="9"/>
    <s v="DR-AU-D1"/>
    <s v="PALF"/>
    <s v="Wildcat 2025"/>
    <s v="CONGO"/>
    <m/>
    <m/>
    <m/>
  </r>
  <r>
    <d v="2025-08-27T00:00:00"/>
    <s v="Taxi moto, Hôtel Mithé2-Région de Gendarmerie"/>
    <x v="0"/>
    <x v="3"/>
    <n v="500"/>
    <n v="0.89135775178182408"/>
    <n v="560.94200000000001"/>
    <x v="7"/>
    <s v="EV-AU-D1"/>
    <s v="PALF"/>
    <s v="Wildcat 2025"/>
    <s v="CONGO"/>
    <m/>
    <m/>
    <m/>
  </r>
  <r>
    <d v="2025-08-27T00:00:00"/>
    <s v="Taxi moto, Région de Gendarmerie-Hôtel Mithé2"/>
    <x v="0"/>
    <x v="3"/>
    <n v="500"/>
    <n v="0.89135775178182408"/>
    <n v="560.94200000000001"/>
    <x v="7"/>
    <s v="EV-AU-D1"/>
    <s v="PALF"/>
    <s v="Wildcat 2025"/>
    <s v="CONGO"/>
    <m/>
    <m/>
    <m/>
  </r>
  <r>
    <d v="2025-08-28T00:00:00"/>
    <s v=" Achat billet Brazzaville-Impfondo / Roderlin"/>
    <x v="0"/>
    <x v="5"/>
    <n v="37000"/>
    <n v="65.960473631854981"/>
    <n v="560.94200000000001"/>
    <x v="12"/>
    <s v="RO-AU-R7"/>
    <s v="PALF"/>
    <s v="Wildcat 2025"/>
    <s v="CONGO"/>
    <m/>
    <m/>
    <m/>
  </r>
  <r>
    <d v="2025-08-28T00:00:00"/>
    <s v="Maison-Bureau"/>
    <x v="0"/>
    <x v="0"/>
    <n v="1000"/>
    <n v="1.7827155035636482"/>
    <n v="560.94200000000001"/>
    <x v="0"/>
    <s v="DH-AU-D1"/>
    <s v="PALF"/>
    <s v="Wildcat 2025"/>
    <s v="CONGO"/>
    <m/>
    <m/>
    <m/>
  </r>
  <r>
    <d v="2025-08-28T00:00:00"/>
    <s v="Bureau-Cabinet d'huissier"/>
    <x v="0"/>
    <x v="0"/>
    <n v="1000"/>
    <n v="1.7827155035636482"/>
    <n v="560.94200000000001"/>
    <x v="0"/>
    <s v="DH-AU-D1"/>
    <s v="PALF"/>
    <s v="Wildcat 2025"/>
    <s v="CONGO"/>
    <m/>
    <m/>
    <m/>
  </r>
  <r>
    <d v="2025-08-28T00:00:00"/>
    <s v="Cabinet d'huissier - Bureau"/>
    <x v="0"/>
    <x v="0"/>
    <n v="1000"/>
    <n v="1.7827155035636482"/>
    <n v="560.94200000000001"/>
    <x v="0"/>
    <s v="DH-AU-D1"/>
    <s v="PALF"/>
    <s v="Wildcat 2025"/>
    <s v="CONGO"/>
    <m/>
    <m/>
    <m/>
  </r>
  <r>
    <d v="2025-08-28T00:00:00"/>
    <s v="Bureau-Maison"/>
    <x v="0"/>
    <x v="0"/>
    <n v="1000"/>
    <n v="1.7827155035636482"/>
    <n v="560.94200000000001"/>
    <x v="0"/>
    <s v="DH-AU-D1"/>
    <s v="PALF"/>
    <s v="Wildcat 2025"/>
    <s v="CONGO"/>
    <m/>
    <m/>
    <m/>
  </r>
  <r>
    <d v="2025-08-28T00:00:00"/>
    <s v="Taxi moto: Hôtel-Gendarmerie"/>
    <x v="0"/>
    <x v="5"/>
    <n v="500"/>
    <n v="0.89135775178182408"/>
    <n v="560.94200000000001"/>
    <x v="8"/>
    <s v="CR-AU-D1"/>
    <s v="PALF"/>
    <s v="Wildcat 2025"/>
    <s v="CONGO"/>
    <m/>
    <m/>
    <m/>
  </r>
  <r>
    <d v="2025-08-28T00:00:00"/>
    <s v="Taxi moto: Gendarmerie-Hôtel"/>
    <x v="0"/>
    <x v="5"/>
    <n v="500"/>
    <n v="0.89135775178182408"/>
    <n v="560.94200000000001"/>
    <x v="8"/>
    <s v="CR-AU-D1"/>
    <s v="PALF"/>
    <s v="Wildcat 2025"/>
    <s v="CONGO"/>
    <m/>
    <m/>
    <m/>
  </r>
  <r>
    <d v="2025-08-28T00:00:00"/>
    <s v="Taxi moto hotel-marché,pour prospection"/>
    <x v="0"/>
    <x v="2"/>
    <n v="500"/>
    <n v="0.89135775178182408"/>
    <n v="560.94200000000001"/>
    <x v="3"/>
    <s v="P29-AU-D1"/>
    <s v="PALF"/>
    <s v="Wildcat 2025"/>
    <s v="CONGO"/>
    <m/>
    <m/>
    <m/>
  </r>
  <r>
    <d v="2025-08-28T00:00:00"/>
    <s v="Taxi moto marché-centre,prospection"/>
    <x v="0"/>
    <x v="2"/>
    <n v="500"/>
    <n v="0.89135775178182408"/>
    <n v="560.94200000000001"/>
    <x v="3"/>
    <s v="P29-AU-D1"/>
    <s v="PALF"/>
    <s v="Wildcat 2025"/>
    <s v="CONGO"/>
    <m/>
    <m/>
    <m/>
  </r>
  <r>
    <d v="2025-08-28T00:00:00"/>
    <s v="Taxi moto centre-hotel"/>
    <x v="0"/>
    <x v="2"/>
    <n v="500"/>
    <n v="0.89135775178182408"/>
    <n v="560.94200000000001"/>
    <x v="3"/>
    <s v="P29-AU-D1"/>
    <s v="PALF"/>
    <s v="Wildcat 2025"/>
    <s v="CONGO"/>
    <m/>
    <m/>
    <m/>
  </r>
  <r>
    <d v="2025-08-28T00:00:00"/>
    <s v="Taxi: Domicile - marché  tagoma / prospection"/>
    <x v="0"/>
    <x v="2"/>
    <n v="1000"/>
    <n v="1.7827155035636482"/>
    <n v="560.94200000000001"/>
    <x v="6"/>
    <s v="G12-AU-D1"/>
    <s v="PALF"/>
    <s v="Wildcat 2025"/>
    <s v="CONGO"/>
    <m/>
    <m/>
    <m/>
  </r>
  <r>
    <d v="2025-08-28T00:00:00"/>
    <s v="Taxi:Macrché tagoma - 5 chemin / prospection"/>
    <x v="0"/>
    <x v="2"/>
    <n v="1000"/>
    <n v="1.7827155035636482"/>
    <n v="560.94200000000001"/>
    <x v="6"/>
    <s v="G12-AU-D1"/>
    <s v="PALF"/>
    <s v="Wildcat 2025"/>
    <s v="CONGO"/>
    <m/>
    <m/>
    <m/>
  </r>
  <r>
    <d v="2025-08-28T00:00:00"/>
    <s v="Taxi:5 chemin - matour / prospection"/>
    <x v="0"/>
    <x v="2"/>
    <n v="1000"/>
    <n v="1.7827155035636482"/>
    <n v="560.94200000000001"/>
    <x v="6"/>
    <s v="G12-AU-D1"/>
    <s v="PALF"/>
    <s v="Wildcat 2025"/>
    <s v="CONGO"/>
    <m/>
    <m/>
    <m/>
  </r>
  <r>
    <d v="2025-08-28T00:00:00"/>
    <s v="Taxi: Matour: domicile"/>
    <x v="0"/>
    <x v="2"/>
    <n v="1000"/>
    <n v="1.7827155035636482"/>
    <n v="560.94200000000001"/>
    <x v="6"/>
    <s v="G12-AU-D1"/>
    <s v="PALF"/>
    <s v="Wildcat 2025"/>
    <s v="CONGO"/>
    <m/>
    <m/>
    <m/>
  </r>
  <r>
    <d v="2025-08-28T00:00:00"/>
    <s v="Taxi:Domicile-Agence Océan du nord de Talangaî "/>
    <x v="0"/>
    <x v="5"/>
    <n v="1000"/>
    <n v="1.7827155035636482"/>
    <n v="560.94200000000001"/>
    <x v="12"/>
    <s v="RO-AU-D1"/>
    <s v="PALF"/>
    <s v="Wildcat 2025"/>
    <s v="CONGO"/>
    <m/>
    <m/>
    <m/>
  </r>
  <r>
    <d v="2025-08-28T00:00:00"/>
    <s v="Taxi:Agence Océan du nord de Ouesso-Hôtel Divine "/>
    <x v="0"/>
    <x v="5"/>
    <n v="500"/>
    <n v="0.89135775178182408"/>
    <n v="560.94200000000001"/>
    <x v="12"/>
    <s v="RO-AU-D1"/>
    <s v="PALF"/>
    <s v="Wildcat 2025"/>
    <s v="CONGO"/>
    <m/>
    <m/>
    <m/>
  </r>
  <r>
    <d v="2025-08-28T00:00:00"/>
    <s v="RODERLIN-CONGO Ration du 28/08/ au 01/09/2025 à Ouesso/Enyele/ Impfondo (04 nuitées)"/>
    <x v="7"/>
    <x v="5"/>
    <n v="40000"/>
    <n v="71.308620142545934"/>
    <n v="560.94200000000001"/>
    <x v="12"/>
    <s v="RO-AU-D4"/>
    <s v="PALF"/>
    <s v="Wildcat 2025"/>
    <s v="CONGO"/>
    <m/>
    <m/>
    <m/>
  </r>
  <r>
    <d v="2025-08-28T00:00:00"/>
    <s v="Taxi moto Hôtel Mithé-La Brigade de Recherche/ Pour la visite geôle du 28/08/2025 à 07h"/>
    <x v="9"/>
    <x v="5"/>
    <n v="500"/>
    <n v="0.89135775178182408"/>
    <n v="560.94200000000001"/>
    <x v="9"/>
    <s v="DR-AU-D1"/>
    <s v="PALF"/>
    <s v="Wildcat 2025"/>
    <s v="CONGO"/>
    <m/>
    <m/>
    <m/>
  </r>
  <r>
    <d v="2025-08-28T00:00:00"/>
    <s v="Ration d'une prevenue/ MOUKAHOU Clarisse/ A la gandarmerie d'Impfondo/Matin"/>
    <x v="12"/>
    <x v="5"/>
    <n v="1500"/>
    <n v="2.6740732553454722"/>
    <n v="560.94200000000001"/>
    <x v="9"/>
    <s v="DR-AU-D3"/>
    <s v="PALF"/>
    <s v="Wildcat 2025"/>
    <s v="CONGO"/>
    <m/>
    <m/>
    <m/>
  </r>
  <r>
    <d v="2025-08-28T00:00:00"/>
    <s v="Taxi moto La Brigade de Recherche- Hôtel Mithé"/>
    <x v="9"/>
    <x v="5"/>
    <n v="500"/>
    <n v="0.89135775178182408"/>
    <n v="560.94200000000001"/>
    <x v="9"/>
    <s v="DR-AU-D1"/>
    <s v="PALF"/>
    <s v="Wildcat 2025"/>
    <s v="CONGO"/>
    <m/>
    <m/>
    <m/>
  </r>
  <r>
    <d v="2025-08-28T00:00:00"/>
    <s v="Taxi moto Hôtel Mithé-La gendarmerie/ Comptages des écailles"/>
    <x v="9"/>
    <x v="5"/>
    <n v="500"/>
    <n v="0.89135775178182408"/>
    <n v="560.94200000000001"/>
    <x v="9"/>
    <s v="DR-AU-D1"/>
    <s v="PALF"/>
    <s v="Wildcat 2025"/>
    <s v="CONGO"/>
    <m/>
    <m/>
    <m/>
  </r>
  <r>
    <d v="2025-08-28T00:00:00"/>
    <s v="Taxi moto La gendarmerie- DDEF/ Saisie de la procédure"/>
    <x v="9"/>
    <x v="5"/>
    <n v="500"/>
    <n v="0.89135775178182408"/>
    <n v="560.94200000000001"/>
    <x v="9"/>
    <s v="DR-AU-D1"/>
    <s v="PALF"/>
    <s v="Wildcat 2025"/>
    <s v="CONGO"/>
    <m/>
    <m/>
    <m/>
  </r>
  <r>
    <d v="2025-08-28T00:00:00"/>
    <s v="Taxi moto DDEF-Hôtel Mithé"/>
    <x v="9"/>
    <x v="5"/>
    <n v="500"/>
    <n v="0.89135775178182408"/>
    <n v="560.94200000000001"/>
    <x v="9"/>
    <s v="DR-AU-D1"/>
    <s v="PALF"/>
    <s v="Wildcat 2025"/>
    <s v="CONGO"/>
    <m/>
    <m/>
    <m/>
  </r>
  <r>
    <d v="2025-08-28T00:00:00"/>
    <s v="Taxi moto Hôtel Mithé-La Brigade de Recherche/ Pour la visite geôle du 28/08/2025 à 20h"/>
    <x v="9"/>
    <x v="5"/>
    <n v="500"/>
    <n v="0.89135775178182408"/>
    <n v="560.94200000000001"/>
    <x v="9"/>
    <s v="DR-AU-D1"/>
    <s v="PALF"/>
    <s v="Wildcat 2025"/>
    <s v="CONGO"/>
    <m/>
    <m/>
    <m/>
  </r>
  <r>
    <d v="2025-08-28T00:00:00"/>
    <s v="Ration d'une prevenue/ MOUKAHOU Clarisse/ A la gandarmerie d'Impfondo/Soir"/>
    <x v="12"/>
    <x v="5"/>
    <n v="1500"/>
    <n v="2.6740732553454722"/>
    <n v="560.94200000000001"/>
    <x v="9"/>
    <s v="DR-AU-D3"/>
    <s v="PALF"/>
    <s v="Wildcat 2025"/>
    <s v="CONGO"/>
    <m/>
    <m/>
    <m/>
  </r>
  <r>
    <d v="2025-08-28T00:00:00"/>
    <s v="Taxi moto La Brigade de Recherche- Hôtel Mithé"/>
    <x v="9"/>
    <x v="5"/>
    <n v="500"/>
    <n v="0.89135775178182408"/>
    <n v="560.94200000000001"/>
    <x v="9"/>
    <s v="DR-AU-D1"/>
    <s v="PALF"/>
    <s v="Wildcat 2025"/>
    <s v="CONGO"/>
    <m/>
    <m/>
    <m/>
  </r>
  <r>
    <d v="2025-08-28T00:00:00"/>
    <s v="Taxi moto, Hôtel Mithé2-Agence Océan du Nord d'Impfondo"/>
    <x v="0"/>
    <x v="3"/>
    <n v="500"/>
    <n v="0.89135775178182408"/>
    <n v="560.94200000000001"/>
    <x v="7"/>
    <s v="EV-AU-D1"/>
    <s v="PALF"/>
    <s v="Wildcat 2025"/>
    <s v="CONGO"/>
    <m/>
    <m/>
    <m/>
  </r>
  <r>
    <d v="2025-08-28T00:00:00"/>
    <s v="Taxi moto, Agence Océan du Nord d'Impfondo-Hôtel Mité 2"/>
    <x v="0"/>
    <x v="3"/>
    <n v="500"/>
    <n v="0.89135775178182408"/>
    <n v="560.94200000000001"/>
    <x v="7"/>
    <s v="EV-AU-D1"/>
    <s v="PALF"/>
    <s v="Wildcat 2025"/>
    <s v="CONGO"/>
    <m/>
    <m/>
    <m/>
  </r>
  <r>
    <d v="2025-08-29T00:00:00"/>
    <s v="Maison-Cabinet d'huissier"/>
    <x v="0"/>
    <x v="0"/>
    <n v="1000"/>
    <n v="1.7827155035636482"/>
    <n v="560.94200000000001"/>
    <x v="0"/>
    <s v="DH-AU-D1"/>
    <s v="PALF"/>
    <s v="Wildcat 2025"/>
    <s v="CONGO"/>
    <m/>
    <m/>
    <m/>
  </r>
  <r>
    <d v="2025-08-29T00:00:00"/>
    <s v="Cabinet d'huissier - Bureau"/>
    <x v="0"/>
    <x v="0"/>
    <n v="1000"/>
    <n v="1.7827155035636482"/>
    <n v="560.94200000000001"/>
    <x v="0"/>
    <s v="DH-AU-D1"/>
    <s v="PALF"/>
    <s v="Wildcat 2025"/>
    <s v="CONGO"/>
    <m/>
    <m/>
    <m/>
  </r>
  <r>
    <d v="2025-08-29T00:00:00"/>
    <s v="Bureau-Maison"/>
    <x v="0"/>
    <x v="0"/>
    <n v="1000"/>
    <n v="1.7827155035636482"/>
    <n v="560.94200000000001"/>
    <x v="0"/>
    <s v="DH-AU-D1"/>
    <s v="PALF"/>
    <s v="Wildcat 2025"/>
    <s v="CONGO"/>
    <m/>
    <m/>
    <m/>
  </r>
  <r>
    <d v="2025-08-29T00:00:00"/>
    <s v="Taxi moto: Hôtel-Parquet"/>
    <x v="0"/>
    <x v="5"/>
    <n v="500"/>
    <n v="0.89135775178182408"/>
    <n v="560.94200000000001"/>
    <x v="8"/>
    <s v="CR-AU-D1"/>
    <s v="PALF"/>
    <s v="Wildcat 2025"/>
    <s v="CONGO"/>
    <m/>
    <m/>
    <m/>
  </r>
  <r>
    <d v="2025-08-29T00:00:00"/>
    <s v="Taxi moto: Parquet-Hôtel"/>
    <x v="0"/>
    <x v="5"/>
    <n v="500"/>
    <n v="0.89135775178182408"/>
    <n v="560.94200000000001"/>
    <x v="8"/>
    <s v="CR-AU-D1"/>
    <s v="PALF"/>
    <s v="Wildcat 2025"/>
    <s v="CONGO"/>
    <m/>
    <m/>
    <m/>
  </r>
  <r>
    <d v="2025-08-29T00:00:00"/>
    <s v="Taxi:Bureau- Direction Canal Box/ Paiement internet du mois deSeptembre2025"/>
    <x v="0"/>
    <x v="1"/>
    <n v="1000"/>
    <n v="1.7827155035636482"/>
    <n v="560.94200000000001"/>
    <x v="1"/>
    <s v="P-AU-D1"/>
    <s v="PALF"/>
    <s v="Wildcat 2025"/>
    <s v="CONGO"/>
    <m/>
    <m/>
    <m/>
  </r>
  <r>
    <d v="2025-08-29T00:00:00"/>
    <s v="Taxi: Direction Canal Box-Bureau/ Paiement internet du mois de Septembre 2025"/>
    <x v="0"/>
    <x v="1"/>
    <n v="1000"/>
    <n v="1.7827155035636482"/>
    <n v="560.94200000000001"/>
    <x v="1"/>
    <s v="P-AU-D1"/>
    <s v="PALF"/>
    <s v="Wildcat 2025"/>
    <s v="CONGO"/>
    <m/>
    <m/>
    <m/>
  </r>
  <r>
    <d v="2025-08-29T00:00:00"/>
    <s v="Frais de ramassage Ordure d'Août 2025"/>
    <x v="1"/>
    <x v="1"/>
    <n v="6000"/>
    <n v="10.696293021381889"/>
    <n v="560.94200000000001"/>
    <x v="1"/>
    <s v="CA-AU-R19"/>
    <s v="PALF"/>
    <s v="Wildcat 2025"/>
    <s v="CONGO"/>
    <m/>
    <m/>
    <m/>
  </r>
  <r>
    <d v="2025-08-29T00:00:00"/>
    <s v="Reglement facture internet periode du 01/09 au 30/09/2025 bureau PALF"/>
    <x v="17"/>
    <x v="1"/>
    <n v="45050"/>
    <n v="80.311333435542352"/>
    <n v="560.94200000000001"/>
    <x v="1"/>
    <s v="CA-AU-R20"/>
    <s v="PALF"/>
    <s v="Wildcat 2025"/>
    <s v="CONGO"/>
    <m/>
    <m/>
    <m/>
  </r>
  <r>
    <d v="2025-08-29T00:00:00"/>
    <s v="Taxi moto hotel-agence,achat billet"/>
    <x v="0"/>
    <x v="2"/>
    <n v="500"/>
    <n v="0.89135775178182408"/>
    <n v="560.94200000000001"/>
    <x v="3"/>
    <s v="P29-AU-D1"/>
    <s v="PALF"/>
    <s v="Wildcat 2025"/>
    <s v="CONGO"/>
    <m/>
    <m/>
    <m/>
  </r>
  <r>
    <d v="2025-08-29T00:00:00"/>
    <s v="Taxi moto agence-hotel"/>
    <x v="0"/>
    <x v="2"/>
    <n v="500"/>
    <n v="0.89135775178182408"/>
    <n v="560.94200000000001"/>
    <x v="3"/>
    <s v="P29-AU-D1"/>
    <s v="PALF"/>
    <s v="Wildcat 2025"/>
    <s v="CONGO"/>
    <m/>
    <m/>
    <m/>
  </r>
  <r>
    <d v="2025-08-29T00:00:00"/>
    <s v="Taxi: Bureau-Charden Farel/Transfert des fonds"/>
    <x v="0"/>
    <x v="5"/>
    <n v="500"/>
    <n v="0.89135775178182408"/>
    <n v="560.94200000000001"/>
    <x v="11"/>
    <s v="AB-AU-D1"/>
    <s v="PALF"/>
    <s v="Wildcat 2025"/>
    <s v="CONGO"/>
    <m/>
    <m/>
    <m/>
  </r>
  <r>
    <d v="2025-08-29T00:00:00"/>
    <s v="Taxi: Charden-Farel Bureau"/>
    <x v="0"/>
    <x v="5"/>
    <n v="500"/>
    <n v="0.89135775178182408"/>
    <n v="560.94200000000001"/>
    <x v="11"/>
    <s v="AB-AU-D1"/>
    <s v="PALF"/>
    <s v="Wildcat 2025"/>
    <s v="CONGO"/>
    <m/>
    <m/>
    <m/>
  </r>
  <r>
    <d v="2025-08-29T00:00:00"/>
    <s v="Frais de tansfert d'argent à Evariste"/>
    <x v="11"/>
    <x v="1"/>
    <n v="8250"/>
    <n v="14.707402904400098"/>
    <n v="560.94200000000001"/>
    <x v="11"/>
    <s v="CA-AU-R21"/>
    <s v="PALF"/>
    <s v="Wildcat 2025"/>
    <s v="CONGO"/>
    <m/>
    <m/>
    <m/>
  </r>
  <r>
    <d v="2025-08-29T00:00:00"/>
    <s v="RODERLIN-CONGO Frais d'hôtel du 28 au 29/08/2025 à Ouesso (01 nuitée)"/>
    <x v="7"/>
    <x v="5"/>
    <n v="15000"/>
    <n v="26.740732553454723"/>
    <n v="560.94200000000001"/>
    <x v="12"/>
    <s v="RO-AU-R8"/>
    <s v="PALF"/>
    <s v="Wildcat 2025"/>
    <s v="CONGO"/>
    <m/>
    <m/>
    <m/>
  </r>
  <r>
    <d v="2025-08-29T00:00:00"/>
    <s v="Taxi:Hôtel Divine-Agence Océan du nord de Ouesso"/>
    <x v="0"/>
    <x v="5"/>
    <n v="500"/>
    <n v="0.89135775178182408"/>
    <n v="560.94200000000001"/>
    <x v="12"/>
    <s v="RO-AU-D1"/>
    <s v="PALF"/>
    <s v="Wildcat 2025"/>
    <s v="CONGO"/>
    <m/>
    <m/>
    <m/>
  </r>
  <r>
    <d v="2025-08-29T00:00:00"/>
    <s v="Taxi-moto:Agence Océan du nord de Enyele-Hôtel Paulina "/>
    <x v="0"/>
    <x v="5"/>
    <n v="500"/>
    <n v="0.89135775178182408"/>
    <n v="560.94200000000001"/>
    <x v="12"/>
    <s v="RO-AU-D1"/>
    <s v="PALF"/>
    <s v="Wildcat 2025"/>
    <s v="CONGO"/>
    <m/>
    <m/>
    <m/>
  </r>
  <r>
    <d v="2025-08-29T00:00:00"/>
    <s v="Taxi moto Hôtel Mithé-La Brigade de Recherche/ Pour la visite geôle du 29/08/2025 à 07h"/>
    <x v="9"/>
    <x v="5"/>
    <n v="500"/>
    <n v="0.89135775178182408"/>
    <n v="560.94200000000001"/>
    <x v="9"/>
    <s v="DR-AU-D1"/>
    <s v="PALF"/>
    <s v="Wildcat 2025"/>
    <s v="CONGO"/>
    <m/>
    <m/>
    <m/>
  </r>
  <r>
    <d v="2025-08-29T00:00:00"/>
    <s v="Ration d'une prevenue/ MOUKAHOU Clarisse/ A la gandarmerie d'Impfondo/Matin"/>
    <x v="12"/>
    <x v="5"/>
    <n v="1500"/>
    <n v="2.6740732553454722"/>
    <n v="560.94200000000001"/>
    <x v="9"/>
    <s v="DR-AU-D3"/>
    <s v="PALF"/>
    <s v="Wildcat 2025"/>
    <s v="CONGO"/>
    <m/>
    <m/>
    <m/>
  </r>
  <r>
    <d v="2025-08-29T00:00:00"/>
    <s v="Taxi moto La Brigade de Recherche- Hôtel Mithé"/>
    <x v="9"/>
    <x v="5"/>
    <n v="500"/>
    <n v="0.89135775178182408"/>
    <n v="560.94200000000001"/>
    <x v="9"/>
    <s v="DR-AU-D1"/>
    <s v="PALF"/>
    <s v="Wildcat 2025"/>
    <s v="CONGO"/>
    <m/>
    <m/>
    <m/>
  </r>
  <r>
    <d v="2025-08-29T00:00:00"/>
    <s v="Taxi moto Hôtel Mithé-Cyber café/ Faire imprimer la procédure de la Gendarmerie"/>
    <x v="9"/>
    <x v="5"/>
    <n v="500"/>
    <n v="0.89135775178182408"/>
    <n v="560.94200000000001"/>
    <x v="9"/>
    <s v="DR-AU-D1"/>
    <s v="PALF"/>
    <s v="Wildcat 2025"/>
    <s v="CONGO"/>
    <m/>
    <m/>
    <m/>
  </r>
  <r>
    <d v="2025-08-29T00:00:00"/>
    <s v="Frais d'impression de la procédure de la gendarmerie"/>
    <x v="18"/>
    <x v="6"/>
    <n v="25200"/>
    <n v="44.924430689803934"/>
    <n v="560.94200000000001"/>
    <x v="9"/>
    <s v="DR-AU-R9"/>
    <s v="PALF"/>
    <s v="Wildcat 2025"/>
    <s v="CONGO"/>
    <m/>
    <m/>
    <m/>
  </r>
  <r>
    <d v="2025-08-29T00:00:00"/>
    <s v="Taxi moto Cyber café-Region de gendarmerie/ Faire signer les PV aux prévenus"/>
    <x v="9"/>
    <x v="5"/>
    <n v="500"/>
    <n v="0.89135775178182408"/>
    <n v="560.94200000000001"/>
    <x v="9"/>
    <s v="DR-AU-D1"/>
    <s v="PALF"/>
    <s v="Wildcat 2025"/>
    <s v="CONGO"/>
    <m/>
    <m/>
    <m/>
  </r>
  <r>
    <d v="2025-08-29T00:00:00"/>
    <s v="Taxi moto TGI- Hôtel Mithé"/>
    <x v="9"/>
    <x v="5"/>
    <n v="500"/>
    <n v="0.89135775178182408"/>
    <n v="560.94200000000001"/>
    <x v="9"/>
    <s v="DR-AU-D1"/>
    <s v="PALF"/>
    <s v="Wildcat 2025"/>
    <s v="CONGO"/>
    <m/>
    <m/>
    <m/>
  </r>
  <r>
    <d v="2025-08-29T00:00:00"/>
    <s v="Taxi moto, Hôtel Mithé2-Charden Farell"/>
    <x v="0"/>
    <x v="3"/>
    <n v="500"/>
    <n v="0.89135775178182408"/>
    <n v="560.94200000000001"/>
    <x v="7"/>
    <s v="EV-AU-D1"/>
    <s v="PALF"/>
    <s v="Wildcat 2025"/>
    <s v="CONGO"/>
    <m/>
    <m/>
    <m/>
  </r>
  <r>
    <d v="2025-08-29T00:00:00"/>
    <s v="Bonus medias(TV Congo) portant sur l'interpetation d'une trafiquante de produit de  faune le 25 Août Août 2025 à Impfondo (pieces télé Congo français)"/>
    <x v="16"/>
    <x v="3"/>
    <n v="50000"/>
    <n v="89.135775178182413"/>
    <n v="560.94200000000001"/>
    <x v="7"/>
    <s v="CA-AU-D4"/>
    <s v="PALF"/>
    <s v="Wildcat 2025"/>
    <s v="CONGO"/>
    <m/>
    <m/>
    <m/>
  </r>
  <r>
    <d v="2025-08-29T00:00:00"/>
    <s v="Bonus medias(TV Congo) portant sur l'interpetation d'une trafiquante de produit de  faune le 25 Août Août 2025 à Impfondo pieces (télé Congo kituba)"/>
    <x v="16"/>
    <x v="3"/>
    <n v="50000"/>
    <n v="89.135775178182413"/>
    <n v="560.94200000000001"/>
    <x v="7"/>
    <s v="CA-AU-D4"/>
    <s v="PALF"/>
    <s v="Wildcat 2025"/>
    <s v="CONGO"/>
    <m/>
    <m/>
    <m/>
  </r>
  <r>
    <d v="2025-08-29T00:00:00"/>
    <s v="Bonus medias(TV Congo) portant sur l'interpetation d'une trafiquante de produit de  faune le 25 Août Août 2025 à Impfondo pieces (télé Congo, lingala )"/>
    <x v="16"/>
    <x v="3"/>
    <n v="50000"/>
    <n v="89.135775178182413"/>
    <n v="560.94200000000001"/>
    <x v="7"/>
    <s v="CA-AU-D4"/>
    <s v="PALF"/>
    <s v="Wildcat 2025"/>
    <s v="CONGO"/>
    <m/>
    <m/>
    <m/>
  </r>
  <r>
    <d v="2025-08-29T00:00:00"/>
    <s v="Bonus medias(TV Congo) portant sur l'interpetation d'une trafiquante de produit de  faune le 25 Août Août 2025 à Impfondo pieces( télé Congo montages)"/>
    <x v="16"/>
    <x v="3"/>
    <n v="50000"/>
    <n v="89.135775178182413"/>
    <n v="560.94200000000001"/>
    <x v="7"/>
    <s v="CA-AU-D4"/>
    <s v="PALF"/>
    <s v="Wildcat 2025"/>
    <s v="CONGO"/>
    <m/>
    <m/>
    <m/>
  </r>
  <r>
    <d v="2025-08-29T00:00:00"/>
    <s v="Taxi moto, Charden Farell-Hôtel Mithé2"/>
    <x v="0"/>
    <x v="3"/>
    <n v="500"/>
    <n v="0.89135775178182408"/>
    <n v="560.94200000000001"/>
    <x v="7"/>
    <s v="EV-AU-D1"/>
    <s v="PALF"/>
    <s v="Wildcat 2025"/>
    <s v="CONGO"/>
    <m/>
    <m/>
    <m/>
  </r>
  <r>
    <d v="2025-08-29T00:00:00"/>
    <s v="Reglement honoraire du mois d'Août 2025/G12/3654427"/>
    <x v="2"/>
    <x v="2"/>
    <n v="222097"/>
    <n v="395.9357651949756"/>
    <n v="560.94200000000001"/>
    <x v="2"/>
    <s v="BQ-AU-R17"/>
    <s v="PALF"/>
    <s v="Wildcat 2025"/>
    <s v="CONGO"/>
    <m/>
    <m/>
    <m/>
  </r>
  <r>
    <d v="2025-08-29T00:00:00"/>
    <s v="Reglement honoraire du mois d'Août 2025/IT87/3654426"/>
    <x v="2"/>
    <x v="2"/>
    <n v="255000"/>
    <n v="454.59245340873031"/>
    <n v="560.94200000000001"/>
    <x v="2"/>
    <s v="BQ-AU-R18"/>
    <s v="PALF"/>
    <s v="Wildcat 2025"/>
    <s v="CONGO"/>
    <m/>
    <m/>
    <m/>
  </r>
  <r>
    <d v="2025-08-30T00:00:00"/>
    <s v="RODERLIN-CONGO Frais d'hôtel du 29 au 30/08/2025 à Enyelle (01 nuitée)"/>
    <x v="7"/>
    <x v="5"/>
    <n v="15000"/>
    <n v="26.740732553454723"/>
    <n v="560.94200000000001"/>
    <x v="12"/>
    <s v="RO-AU-R9"/>
    <s v="PALF"/>
    <s v="Wildcat 2025"/>
    <s v="CONGO"/>
    <m/>
    <m/>
    <m/>
  </r>
  <r>
    <d v="2025-08-30T00:00:00"/>
    <s v="Taxi:Hôtel Paulina-Agence Océan du nord de Enyele "/>
    <x v="0"/>
    <x v="5"/>
    <n v="500"/>
    <n v="0.89135775178182408"/>
    <n v="560.94200000000001"/>
    <x v="12"/>
    <s v="RO-AU-D1"/>
    <s v="PALF"/>
    <s v="Wildcat 2025"/>
    <s v="CONGO"/>
    <m/>
    <m/>
    <m/>
  </r>
  <r>
    <d v="2025-08-30T00:00:00"/>
    <s v="Taxi-moto:Agence Océan du nord d'Impfondo-Hôtel Mithe"/>
    <x v="0"/>
    <x v="5"/>
    <n v="500"/>
    <n v="0.89135775178182408"/>
    <n v="560.94200000000001"/>
    <x v="12"/>
    <s v="RO-AU-D1"/>
    <s v="PALF"/>
    <s v="Wildcat 2025"/>
    <s v="CONGO"/>
    <m/>
    <m/>
    <m/>
  </r>
  <r>
    <d v="2025-08-31T00:00:00"/>
    <s v="Achat billet enyelle-Brazzaville/P29"/>
    <x v="0"/>
    <x v="2"/>
    <n v="35000"/>
    <n v="62.395042624727687"/>
    <n v="560.94200000000001"/>
    <x v="3"/>
    <s v="P29-AU-R12"/>
    <s v="PALF"/>
    <s v="Wildcat 2025"/>
    <s v="CONGO"/>
    <m/>
    <m/>
    <m/>
  </r>
  <r>
    <d v="2025-08-31T00:00:00"/>
    <s v="P29 -CONGO Frais d'hotel du 25 au 31/08/2025 à  enyelle (06 Nuitées)"/>
    <x v="7"/>
    <x v="2"/>
    <n v="90000"/>
    <n v="160.44439532072835"/>
    <n v="560.94200000000001"/>
    <x v="3"/>
    <s v="P29-AU-R13"/>
    <s v="PALF"/>
    <s v="Wildcat 2025"/>
    <s v="CONGO"/>
    <m/>
    <m/>
    <m/>
  </r>
  <r>
    <d v="2025-08-31T00:00:00"/>
    <s v="Taxi agence-hotel,arrivé à gamboma"/>
    <x v="0"/>
    <x v="2"/>
    <n v="1000"/>
    <n v="1.7827155035636482"/>
    <n v="560.94200000000001"/>
    <x v="3"/>
    <s v="P29-AU-D1"/>
    <s v="PALF"/>
    <s v="Wildcat 2025"/>
    <s v="CONGO"/>
    <m/>
    <m/>
    <m/>
  </r>
  <r>
    <d v="2025-08-31T00:00:00"/>
    <s v="Achat billet  Enyelle - Brazzaville/T73"/>
    <x v="0"/>
    <x v="2"/>
    <n v="35000"/>
    <n v="62.395042624727687"/>
    <n v="560.94200000000001"/>
    <x v="4"/>
    <s v="T73-AU-R10"/>
    <s v="PALF"/>
    <s v="Wildcat 2025"/>
    <s v="CONGO"/>
    <m/>
    <m/>
    <m/>
  </r>
  <r>
    <d v="2025-08-31T00:00:00"/>
    <s v="T73 - CONGO Frais d'hotel du 25 au 31/08/2025 à Enyelle ( 06 nuitée)"/>
    <x v="7"/>
    <x v="2"/>
    <n v="90000"/>
    <n v="160.44439532072835"/>
    <n v="560.94200000000001"/>
    <x v="4"/>
    <s v="T73-AU-R11"/>
    <s v="PALF"/>
    <s v="Wildcat 2025"/>
    <s v="CONGO"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5">
  <r>
    <d v="2025-08-01T00:00:00"/>
    <s v="Report au 01/08/2025"/>
    <m/>
    <m/>
    <m/>
    <m/>
    <n v="72370"/>
    <x v="0"/>
    <m/>
    <m/>
  </r>
  <r>
    <d v="2025-08-07T00:00:00"/>
    <s v="Achat credit  teléphonique MTN/PALF/DU 07 au 10/08/2025 Departement investigation"/>
    <s v="Telephone"/>
    <s v="Office"/>
    <n v="20000"/>
    <m/>
    <n v="52370"/>
    <x v="1"/>
    <s v="Oui"/>
    <m/>
  </r>
  <r>
    <d v="2025-08-08T00:00:00"/>
    <s v="Parfaite"/>
    <s v="Versement"/>
    <m/>
    <n v="20000"/>
    <m/>
    <n v="32370"/>
    <x v="2"/>
    <s v="CA-AU-V2"/>
    <m/>
  </r>
  <r>
    <d v="2025-08-11T00:00:00"/>
    <s v="G12"/>
    <s v="Versement"/>
    <m/>
    <n v="15000"/>
    <m/>
    <n v="17370"/>
    <x v="3"/>
    <s v="CA-AU-V3"/>
    <m/>
  </r>
  <r>
    <d v="2025-08-12T00:00:00"/>
    <s v="P29"/>
    <s v="Versement"/>
    <m/>
    <m/>
    <n v="20000"/>
    <n v="37370"/>
    <x v="4"/>
    <s v="CA-AU-V4"/>
    <m/>
  </r>
  <r>
    <d v="2025-08-12T00:00:00"/>
    <s v="IT87"/>
    <s v="Versement"/>
    <m/>
    <n v="10000"/>
    <m/>
    <n v="27370"/>
    <x v="5"/>
    <s v="CA-AU-V5"/>
    <m/>
  </r>
  <r>
    <d v="2025-08-12T00:00:00"/>
    <s v="T73"/>
    <s v="Versement"/>
    <m/>
    <n v="10000"/>
    <m/>
    <n v="17370"/>
    <x v="6"/>
    <s v="CA-AU-V6"/>
    <m/>
  </r>
  <r>
    <d v="2025-08-13T00:00:00"/>
    <s v="BCI3654415"/>
    <s v="Versement"/>
    <m/>
    <m/>
    <n v="300000"/>
    <n v="317370"/>
    <x v="7"/>
    <s v="CA-AU-V7"/>
    <m/>
  </r>
  <r>
    <d v="2025-08-13T00:00:00"/>
    <s v="DOVI"/>
    <s v="Versement"/>
    <m/>
    <m/>
    <n v="350000"/>
    <n v="667370"/>
    <x v="8"/>
    <s v="CA-AU-V8"/>
    <m/>
  </r>
  <r>
    <d v="2025-08-13T00:00:00"/>
    <s v="Crépin"/>
    <s v="Versement"/>
    <m/>
    <n v="120000"/>
    <m/>
    <n v="547370"/>
    <x v="9"/>
    <s v="CA-AU-V9"/>
    <m/>
  </r>
  <r>
    <d v="2025-08-13T00:00:00"/>
    <s v="Donald-Roméo"/>
    <s v="Versement"/>
    <m/>
    <n v="120000"/>
    <m/>
    <n v="427370"/>
    <x v="10"/>
    <s v="CA-AU-V10"/>
    <m/>
  </r>
  <r>
    <d v="2025-08-13T00:00:00"/>
    <s v="Evariste"/>
    <s v="Versement"/>
    <m/>
    <n v="120000"/>
    <m/>
    <n v="307370"/>
    <x v="11"/>
    <s v="CA-AU-V11"/>
    <m/>
  </r>
  <r>
    <d v="2025-08-13T00:00:00"/>
    <s v="P29"/>
    <s v="Versement"/>
    <m/>
    <n v="145000"/>
    <m/>
    <n v="162370"/>
    <x v="4"/>
    <s v="CA-AU-V12"/>
    <m/>
  </r>
  <r>
    <d v="2025-08-13T00:00:00"/>
    <s v="T73"/>
    <s v="Versement"/>
    <m/>
    <n v="145000"/>
    <m/>
    <n v="17370"/>
    <x v="6"/>
    <s v="CA-AU-V13"/>
    <m/>
  </r>
  <r>
    <d v="2025-08-14T00:00:00"/>
    <s v="BCI3654412"/>
    <s v="Versement"/>
    <m/>
    <m/>
    <n v="2000000"/>
    <n v="2017370"/>
    <x v="7"/>
    <s v="CA-AU-V14"/>
    <m/>
  </r>
  <r>
    <d v="2025-08-14T00:00:00"/>
    <s v="DOVI"/>
    <s v="Versement"/>
    <m/>
    <n v="720000"/>
    <m/>
    <n v="1297370"/>
    <x v="8"/>
    <s v="CA-AU-V15"/>
    <m/>
  </r>
  <r>
    <d v="2025-08-14T00:00:00"/>
    <s v="Romain"/>
    <s v="Versement"/>
    <m/>
    <n v="20000"/>
    <m/>
    <n v="1277370"/>
    <x v="12"/>
    <s v="CA-AU-V16"/>
    <m/>
  </r>
  <r>
    <d v="2025-08-14T00:00:00"/>
    <s v="Achat de 10 ampoule à crochet"/>
    <s v="Office Materiels"/>
    <s v="Office"/>
    <n v="25000"/>
    <m/>
    <n v="1252370"/>
    <x v="2"/>
    <s v="CA-AU-R1"/>
    <m/>
  </r>
  <r>
    <d v="2025-08-14T00:00:00"/>
    <s v="Parfaite"/>
    <s v="Versement"/>
    <m/>
    <n v="20000"/>
    <m/>
    <n v="1232370"/>
    <x v="2"/>
    <s v="CA-AU-V17"/>
    <m/>
  </r>
  <r>
    <d v="2025-08-15T00:00:00"/>
    <s v="Achat credit  teléphonique MTN/PALF/DU 14 au 17/08/2025 Crépin, Donald-Roméo, Evariste, P29 et T73"/>
    <s v="Telephone"/>
    <s v="Office"/>
    <n v="25000"/>
    <m/>
    <n v="1207370"/>
    <x v="1"/>
    <s v="Oui"/>
    <m/>
  </r>
  <r>
    <d v="2025-08-18T00:00:00"/>
    <s v="Crépin"/>
    <s v="Versement"/>
    <m/>
    <n v="196000"/>
    <m/>
    <n v="1011370"/>
    <x v="9"/>
    <s v="CA-AU-V18"/>
    <m/>
  </r>
  <r>
    <d v="2025-08-18T00:00:00"/>
    <s v="Donald-Roméo"/>
    <s v="Versement"/>
    <m/>
    <n v="196000"/>
    <m/>
    <n v="815370"/>
    <x v="10"/>
    <s v="CA-AU-V19"/>
    <m/>
  </r>
  <r>
    <d v="2025-08-18T00:00:00"/>
    <s v="Evariste"/>
    <s v="Versement"/>
    <m/>
    <n v="196000"/>
    <m/>
    <n v="619370"/>
    <x v="11"/>
    <s v="CA-AU-V20"/>
    <m/>
  </r>
  <r>
    <d v="2025-08-18T00:00:00"/>
    <s v="P29"/>
    <s v="Versement"/>
    <m/>
    <n v="255000"/>
    <m/>
    <n v="364370"/>
    <x v="4"/>
    <s v="CA-AU-V21"/>
    <m/>
  </r>
  <r>
    <d v="2025-08-18T00:00:00"/>
    <s v="T73"/>
    <s v="Versement"/>
    <m/>
    <n v="255000"/>
    <m/>
    <n v="109370"/>
    <x v="6"/>
    <s v="CA-AU-V22"/>
    <m/>
  </r>
  <r>
    <d v="2025-08-18T00:00:00"/>
    <s v="Frais de tansfert d'argent à crépin, Donald-Roméo, Evariste, P29 et T73"/>
    <s v="Transfert fees"/>
    <s v="Office"/>
    <n v="32940"/>
    <m/>
    <n v="76430"/>
    <x v="13"/>
    <s v="CA-AU-R2"/>
    <m/>
  </r>
  <r>
    <d v="2025-08-18T00:00:00"/>
    <s v="BCI3654417"/>
    <s v="Versement"/>
    <m/>
    <m/>
    <n v="2000000"/>
    <n v="2076430"/>
    <x v="7"/>
    <s v="CA-AU-V23"/>
    <m/>
  </r>
  <r>
    <d v="2025-08-18T00:00:00"/>
    <s v="Reglement assurance retraite Coordinateur periode Janvier-Février- Mars- Avril-Mai - Juin 2025"/>
    <s v="Personnel"/>
    <s v="Management"/>
    <n v="300000"/>
    <m/>
    <n v="1776430"/>
    <x v="8"/>
    <s v="CA-AU-R3"/>
    <m/>
  </r>
  <r>
    <d v="2025-08-18T00:00:00"/>
    <s v="Achat credit  teléphonique MTN/PALF/ du 18 au 31 Août 2025"/>
    <s v="Telephone"/>
    <s v="Office"/>
    <n v="120000"/>
    <m/>
    <n v="1656430"/>
    <x v="1"/>
    <s v="Oui"/>
    <m/>
  </r>
  <r>
    <d v="2025-08-18T00:00:00"/>
    <s v="Achat credit  teléphonique Airtel/PALF/du 18 au 31 Août2025"/>
    <s v="Telephone"/>
    <s v="Office"/>
    <n v="25000"/>
    <m/>
    <n v="1631430"/>
    <x v="1"/>
    <s v="Oui"/>
    <m/>
  </r>
  <r>
    <d v="2025-08-18T00:00:00"/>
    <s v="Roderlin"/>
    <s v="Versement"/>
    <m/>
    <n v="78500"/>
    <m/>
    <n v="1552930"/>
    <x v="14"/>
    <s v="CA-AU-V24"/>
    <m/>
  </r>
  <r>
    <d v="2025-08-18T00:00:00"/>
    <s v="G12"/>
    <s v="Versement"/>
    <m/>
    <n v="100000"/>
    <m/>
    <n v="1452930"/>
    <x v="3"/>
    <s v="CA-AU-V25"/>
    <m/>
  </r>
  <r>
    <d v="2025-08-18T00:00:00"/>
    <s v="IT87"/>
    <s v="Versement"/>
    <m/>
    <n v="100000"/>
    <m/>
    <n v="1352930"/>
    <x v="5"/>
    <s v="CA-AU-V26"/>
    <m/>
  </r>
  <r>
    <d v="2025-08-19T00:00:00"/>
    <s v="Abraham"/>
    <s v="Versement"/>
    <m/>
    <n v="92500"/>
    <m/>
    <n v="1260430"/>
    <x v="13"/>
    <s v="CA-AU-V27"/>
    <m/>
  </r>
  <r>
    <d v="2025-08-19T00:00:00"/>
    <s v="Frais de notification contrat Romain"/>
    <s v="Personnel"/>
    <s v="Legal"/>
    <n v="10500"/>
    <m/>
    <n v="1249930"/>
    <x v="2"/>
    <s v="CA-AU-R4"/>
    <m/>
  </r>
  <r>
    <d v="2025-08-19T00:00:00"/>
    <s v="Achat produit d'entretien lait,sucre,javel,papier toilette,sac poubelle,savon/Bureau PALF"/>
    <s v="Office Materiels"/>
    <s v="Office"/>
    <n v="52550"/>
    <m/>
    <n v="1197380"/>
    <x v="2"/>
    <s v="CA-AU-R5"/>
    <m/>
  </r>
  <r>
    <d v="2025-08-20T00:00:00"/>
    <s v="G12"/>
    <s v="Versement"/>
    <m/>
    <n v="88000"/>
    <m/>
    <n v="1109380"/>
    <x v="3"/>
    <s v="CA-AU-V28"/>
    <m/>
  </r>
  <r>
    <d v="2025-08-20T00:00:00"/>
    <s v="IT87"/>
    <s v="Versement"/>
    <m/>
    <n v="71000"/>
    <m/>
    <n v="1038380"/>
    <x v="5"/>
    <s v="CA-AU-V29"/>
    <m/>
  </r>
  <r>
    <d v="2025-08-20T00:00:00"/>
    <s v="Frais de tansfert d'argent à G12 et IT87"/>
    <s v="Transfert fees"/>
    <s v="Office"/>
    <n v="3180"/>
    <m/>
    <n v="1035200"/>
    <x v="2"/>
    <s v="CA-AU-R6"/>
    <m/>
  </r>
  <r>
    <d v="2025-08-22T00:00:00"/>
    <s v="Achat carburant groupe electrogène Bureau et le frais de recharge"/>
    <s v="Office Materiels"/>
    <s v="Office"/>
    <n v="68500"/>
    <m/>
    <n v="966700"/>
    <x v="14"/>
    <s v="CA-AU-R7"/>
    <m/>
  </r>
  <r>
    <d v="2025-08-22T00:00:00"/>
    <s v="BCI3654419"/>
    <s v="Versement"/>
    <m/>
    <m/>
    <n v="2000000"/>
    <n v="2966700"/>
    <x v="7"/>
    <s v="CA-AU-V30"/>
    <m/>
  </r>
  <r>
    <d v="2025-08-22T00:00:00"/>
    <s v="P29"/>
    <s v="Versement"/>
    <m/>
    <n v="465000"/>
    <m/>
    <n v="2501700"/>
    <x v="4"/>
    <s v="CA-AU-V31"/>
    <m/>
  </r>
  <r>
    <d v="2025-08-22T00:00:00"/>
    <s v="Crépin"/>
    <s v="Versement"/>
    <m/>
    <n v="379000"/>
    <m/>
    <n v="2122700"/>
    <x v="9"/>
    <s v="CA-AU-V32"/>
    <m/>
  </r>
  <r>
    <d v="2025-08-22T00:00:00"/>
    <s v="Donald-Roméo"/>
    <s v="Versement"/>
    <m/>
    <n v="129000"/>
    <m/>
    <n v="1993700"/>
    <x v="10"/>
    <s v="CA-AU-V33"/>
    <m/>
  </r>
  <r>
    <d v="2025-08-22T00:00:00"/>
    <s v="Evariste"/>
    <s v="Versement"/>
    <m/>
    <n v="90000"/>
    <m/>
    <n v="1903700"/>
    <x v="11"/>
    <s v="CA-AU-V34"/>
    <m/>
  </r>
  <r>
    <d v="2025-08-22T00:00:00"/>
    <s v="Frais de tansfert d'argent à crépin, Donald-Roméo, Evariste et P29"/>
    <s v="Transfert fees"/>
    <s v="Office"/>
    <n v="31890"/>
    <m/>
    <n v="1871810"/>
    <x v="2"/>
    <s v="CA-AU-R8"/>
    <m/>
  </r>
  <r>
    <d v="2025-08-22T00:00:00"/>
    <s v="Roderlin"/>
    <s v="Versement"/>
    <m/>
    <n v="20000"/>
    <m/>
    <n v="1851810"/>
    <x v="14"/>
    <s v="CA-AU-V35"/>
    <m/>
  </r>
  <r>
    <d v="2025-08-22T00:00:00"/>
    <s v="Parfaite"/>
    <s v="Versement"/>
    <m/>
    <n v="20000"/>
    <m/>
    <n v="1831810"/>
    <x v="2"/>
    <s v="CA-AU-V36"/>
    <m/>
  </r>
  <r>
    <d v="2025-08-25T00:00:00"/>
    <s v="Achat chaise  bureau PALF"/>
    <s v="Equipment"/>
    <s v="Office"/>
    <n v="35000"/>
    <m/>
    <n v="1796810"/>
    <x v="12"/>
    <s v="CA-AU-R9"/>
    <m/>
  </r>
  <r>
    <d v="2025-08-25T00:00:00"/>
    <s v="Frais de reparation chaise bureau PALF"/>
    <s v="Services"/>
    <s v="Office"/>
    <n v="5000"/>
    <m/>
    <n v="1791810"/>
    <x v="12"/>
    <s v="CA-AU-R10"/>
    <m/>
  </r>
  <r>
    <d v="2025-08-25T00:00:00"/>
    <s v="P29"/>
    <s v="Versement"/>
    <m/>
    <n v="203000"/>
    <m/>
    <n v="1588810"/>
    <x v="4"/>
    <s v="CA-AU-V37"/>
    <m/>
  </r>
  <r>
    <d v="2025-08-25T00:00:00"/>
    <s v="T73"/>
    <s v="Versement"/>
    <m/>
    <n v="168000"/>
    <m/>
    <n v="1420810"/>
    <x v="6"/>
    <s v="CA-AU-V38"/>
    <m/>
  </r>
  <r>
    <d v="2025-08-25T00:00:00"/>
    <s v="Frais de tansfert d'argent à T73 et P29"/>
    <s v="Transfert fees"/>
    <s v="Office"/>
    <n v="12985"/>
    <m/>
    <n v="1407825"/>
    <x v="2"/>
    <s v="CA-AU-R11"/>
    <m/>
  </r>
  <r>
    <d v="2025-08-26T00:00:00"/>
    <s v="Bonus media portant sur le bilan des activités PALF de Janvier à Juillet pièces presse Internet"/>
    <s v="Bonus to media officer"/>
    <s v="Media"/>
    <n v="84000"/>
    <m/>
    <n v="1323825"/>
    <x v="11"/>
    <s v="CA-AU-D1"/>
    <m/>
  </r>
  <r>
    <d v="2025-08-26T00:00:00"/>
    <s v="Bonus media portant sur le bilan des activités PALF de Janvier à Juillet pièces presse Papier"/>
    <s v="Bonus to media officer"/>
    <s v="Media"/>
    <n v="40000"/>
    <m/>
    <n v="1283825"/>
    <x v="11"/>
    <s v="CA-AU-D2"/>
    <m/>
  </r>
  <r>
    <d v="2025-08-26T00:00:00"/>
    <s v="Bonus media portant sur le bilan des activités PALF de Janvier à Juillet pièces Radio"/>
    <s v="Bonus to media officer"/>
    <s v="Media"/>
    <n v="6000"/>
    <m/>
    <n v="1277825"/>
    <x v="11"/>
    <s v="CA-AU-D3"/>
    <m/>
  </r>
  <r>
    <d v="2025-08-26T00:00:00"/>
    <s v="Frais de tansfert d'argent à Evariste"/>
    <s v="Transfert fees"/>
    <s v="Office"/>
    <n v="3900"/>
    <m/>
    <n v="1273925"/>
    <x v="12"/>
    <s v="CA-AU-R12"/>
    <m/>
  </r>
  <r>
    <d v="2025-08-26T00:00:00"/>
    <s v="Achat eau mineral 10 LITRES/Bureau"/>
    <s v="Office Materiels"/>
    <s v="Office"/>
    <n v="25000"/>
    <m/>
    <n v="1248925"/>
    <x v="13"/>
    <s v="CA-AU-R13"/>
    <m/>
  </r>
  <r>
    <d v="2025-08-27T00:00:00"/>
    <s v="Frais de transport mission Maitre Alain à Impfondo du 28 /08au 01/09/2025"/>
    <s v="Transport"/>
    <s v="Legal"/>
    <n v="84000"/>
    <m/>
    <n v="1164925"/>
    <x v="14"/>
    <s v="CA-AU-R14"/>
    <m/>
  </r>
  <r>
    <d v="2025-08-27T00:00:00"/>
    <s v="Ration et frais d'hotel mission maitre Alain à Impfondo du 28/08 au 01/09/2025"/>
    <s v="Travel Subsistence"/>
    <s v="Legal"/>
    <n v="100000"/>
    <m/>
    <n v="1064925"/>
    <x v="14"/>
    <s v="CA-AU-R15"/>
    <m/>
  </r>
  <r>
    <d v="2025-08-27T00:00:00"/>
    <s v="Roderlin"/>
    <s v="Versement"/>
    <m/>
    <n v="174000"/>
    <m/>
    <n v="890925"/>
    <x v="14"/>
    <s v="CA-AU-V39"/>
    <m/>
  </r>
  <r>
    <d v="2025-08-27T00:00:00"/>
    <s v=" Frais de prestation de nettoyage jardin PALF Août 2025"/>
    <s v="Services"/>
    <s v="Office"/>
    <n v="20000"/>
    <m/>
    <n v="870925"/>
    <x v="2"/>
    <s v="CA-AU-R16"/>
    <m/>
  </r>
  <r>
    <d v="2025-08-27T00:00:00"/>
    <s v="Reglement prestation de nettoyage  PALF du mois de Août 2025"/>
    <s v="Services"/>
    <s v="Office"/>
    <n v="75625"/>
    <m/>
    <n v="795300"/>
    <x v="2"/>
    <s v="CA-AU-R17"/>
    <m/>
  </r>
  <r>
    <d v="2025-08-27T00:00:00"/>
    <s v="IT87"/>
    <s v="Versement"/>
    <m/>
    <n v="20000"/>
    <m/>
    <n v="775300"/>
    <x v="5"/>
    <s v="CA-AU-V40"/>
    <m/>
  </r>
  <r>
    <d v="2025-08-27T00:00:00"/>
    <s v="Crépin"/>
    <s v="Versement"/>
    <m/>
    <n v="30000"/>
    <m/>
    <n v="745300"/>
    <x v="9"/>
    <s v="CA-AU-V41"/>
    <m/>
  </r>
  <r>
    <d v="2025-08-27T00:00:00"/>
    <s v="Evariste"/>
    <s v="Versement"/>
    <m/>
    <n v="108000"/>
    <m/>
    <n v="637300"/>
    <x v="11"/>
    <s v="CA-AU-V42"/>
    <m/>
  </r>
  <r>
    <d v="2025-08-27T00:00:00"/>
    <s v="Donald-Roméo"/>
    <s v="Versement"/>
    <m/>
    <n v="196000"/>
    <m/>
    <n v="441300"/>
    <x v="10"/>
    <s v="CA-AU-V43"/>
    <m/>
  </r>
  <r>
    <d v="2025-08-27T00:00:00"/>
    <s v="Frais de tansfert d'argent à crépin, Donald-Roméo et Evariste "/>
    <s v="Transfert fees"/>
    <s v="Office"/>
    <n v="10020"/>
    <m/>
    <n v="431280"/>
    <x v="2"/>
    <s v="CA-AU-R18"/>
    <m/>
  </r>
  <r>
    <d v="2025-08-29T00:00:00"/>
    <s v="Frais de ramassage Ordure d'Août 2025"/>
    <s v="Rent &amp; Utilities"/>
    <s v="Office"/>
    <n v="6000"/>
    <m/>
    <n v="425280"/>
    <x v="2"/>
    <s v="CA-AU-R19"/>
    <m/>
  </r>
  <r>
    <d v="2025-08-29T00:00:00"/>
    <s v="Reglement facture internet periode du 01/09 au 30/09/2025 bureau PALF"/>
    <s v="Internet"/>
    <s v="Office"/>
    <n v="45050"/>
    <m/>
    <n v="380230"/>
    <x v="2"/>
    <s v="CA-AU-R20"/>
    <m/>
  </r>
  <r>
    <d v="2025-08-29T00:00:00"/>
    <s v="Bonus medias(TV Congo) portant sur l'interpetation d'une trafiquante de produit de  faune le 25 Août Août 2025 à Impfondo pieces télé Congo français, kituba, lingala et montages"/>
    <s v="Bonus to media officer"/>
    <s v="Media"/>
    <n v="200000"/>
    <m/>
    <n v="180230"/>
    <x v="11"/>
    <s v="CA-AU-D4"/>
    <m/>
  </r>
  <r>
    <d v="2025-08-29T00:00:00"/>
    <s v="Evariste"/>
    <s v="Versement"/>
    <m/>
    <n v="75000"/>
    <m/>
    <n v="105230"/>
    <x v="11"/>
    <s v="CA-AU-V44"/>
    <m/>
  </r>
  <r>
    <d v="2025-08-29T00:00:00"/>
    <s v="Frais de tansfert d'argent à Evariste"/>
    <s v="Transfert fees"/>
    <s v="Office"/>
    <n v="8250"/>
    <m/>
    <n v="96980"/>
    <x v="13"/>
    <s v="CA-AU-R21"/>
    <m/>
  </r>
  <r>
    <d v="2025-08-29T00:00:00"/>
    <s v="Abraham"/>
    <s v="Versement"/>
    <m/>
    <n v="20000"/>
    <m/>
    <n v="76980"/>
    <x v="13"/>
    <s v="CA-AU-V45"/>
    <m/>
  </r>
  <r>
    <d v="2025-08-29T00:00:00"/>
    <s v="DOVI"/>
    <s v="Versement"/>
    <m/>
    <n v="20000"/>
    <m/>
    <n v="56980"/>
    <x v="8"/>
    <s v="CA-AU-V46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C16" firstHeaderRow="1" firstDataRow="1" firstDataCol="1"/>
  <pivotFields count="15"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4">
        <item x="11"/>
        <item x="2"/>
        <item x="8"/>
        <item x="9"/>
        <item x="0"/>
        <item x="7"/>
        <item x="1"/>
        <item x="12"/>
        <item x="10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7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mme de Spent  in XAF" fld="4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eau croisé dynamique2" cacheId="8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D18" firstHeaderRow="0" firstDataRow="1" firstDataCol="1"/>
  <pivotFields count="10">
    <pivotField numFmtId="14" showAll="0"/>
    <pivotField showAll="0"/>
    <pivotField showAll="0"/>
    <pivotField showAll="0"/>
    <pivotField dataField="1" showAll="0"/>
    <pivotField dataField="1" showAll="0"/>
    <pivotField numFmtId="168" showAll="0"/>
    <pivotField axis="axisRow" showAll="0">
      <items count="16">
        <item x="13"/>
        <item x="7"/>
        <item x="10"/>
        <item x="8"/>
        <item x="11"/>
        <item x="3"/>
        <item x="5"/>
        <item x="4"/>
        <item x="2"/>
        <item x="1"/>
        <item x="14"/>
        <item x="12"/>
        <item x="6"/>
        <item x="0"/>
        <item x="9"/>
        <item t="default"/>
      </items>
    </pivotField>
    <pivotField showAll="0"/>
    <pivotField showAll="0"/>
  </pivotFields>
  <rowFields count="1">
    <field x="7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Spent " fld="4" baseField="7" baseItem="0"/>
    <dataField name="Somme de Received" fld="5" baseField="7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eau croisé dynamique3" cacheId="7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B2:V12" firstHeaderRow="1" firstDataRow="2" firstDataCol="1"/>
  <pivotFields count="15">
    <pivotField showAll="0"/>
    <pivotField showAll="0"/>
    <pivotField axis="axisCol" showAll="0">
      <items count="21">
        <item x="15"/>
        <item x="16"/>
        <item x="6"/>
        <item x="17"/>
        <item x="10"/>
        <item x="8"/>
        <item x="2"/>
        <item x="1"/>
        <item x="4"/>
        <item x="3"/>
        <item x="11"/>
        <item x="0"/>
        <item x="9"/>
        <item x="7"/>
        <item x="5"/>
        <item m="1" x="19"/>
        <item x="13"/>
        <item x="12"/>
        <item x="18"/>
        <item x="14"/>
        <item t="default"/>
      </items>
    </pivotField>
    <pivotField axis="axisRow" showAll="0">
      <items count="9">
        <item x="2"/>
        <item x="5"/>
        <item x="0"/>
        <item x="3"/>
        <item x="1"/>
        <item x="7"/>
        <item x="4"/>
        <item x="6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2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6"/>
    </i>
    <i>
      <x v="17"/>
    </i>
    <i>
      <x v="18"/>
    </i>
    <i>
      <x v="19"/>
    </i>
    <i t="grand">
      <x/>
    </i>
  </colItems>
  <dataFields count="1">
    <dataField name="Somme de Spent  in XAF" fld="4" baseField="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eau croisé dynamique1" cacheId="6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K2:O30" firstHeaderRow="0" firstDataRow="1" firstDataCol="1"/>
  <pivotFields count="16"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axis="axisRow" showAll="0">
      <items count="9">
        <item x="7"/>
        <item x="6"/>
        <item x="1"/>
        <item x="3"/>
        <item x="2"/>
        <item x="4"/>
        <item x="0"/>
        <item x="5"/>
        <item t="default"/>
      </items>
    </pivotField>
    <pivotField showAll="0"/>
    <pivotField dataField="1" showAll="0"/>
    <pivotField dataField="1" showAll="0"/>
    <pivotField showAll="0"/>
    <pivotField axis="axisRow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3">
    <field x="10"/>
    <field x="15"/>
    <field x="0"/>
  </rowFields>
  <rowItems count="28">
    <i>
      <x/>
    </i>
    <i r="1">
      <x v="8"/>
    </i>
    <i>
      <x v="1"/>
    </i>
    <i r="1">
      <x v="7"/>
    </i>
    <i>
      <x v="2"/>
    </i>
    <i r="1">
      <x v="2"/>
    </i>
    <i r="1">
      <x v="3"/>
    </i>
    <i r="1">
      <x v="4"/>
    </i>
    <i r="1">
      <x v="5"/>
    </i>
    <i r="1">
      <x v="6"/>
    </i>
    <i>
      <x v="3"/>
    </i>
    <i r="1">
      <x v="3"/>
    </i>
    <i r="1">
      <x v="4"/>
    </i>
    <i r="1">
      <x v="7"/>
    </i>
    <i>
      <x v="4"/>
    </i>
    <i r="1">
      <x v="2"/>
    </i>
    <i>
      <x v="5"/>
    </i>
    <i r="1">
      <x v="3"/>
    </i>
    <i>
      <x v="6"/>
    </i>
    <i r="1">
      <x v="1"/>
    </i>
    <i r="1">
      <x v="2"/>
    </i>
    <i>
      <x v="7"/>
    </i>
    <i r="1">
      <x v="4"/>
    </i>
    <i r="1">
      <x v="5"/>
    </i>
    <i r="1">
      <x v="6"/>
    </i>
    <i r="1">
      <x v="7"/>
    </i>
    <i r="1">
      <x v="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omme de Spent  in XAF" fld="4" baseField="15" baseItem="1"/>
    <dataField name="Somme de Spent in $" fld="5" baseField="15" baseItem="1"/>
    <dataField name="Somme de Receved  $" fld="13" baseField="15" baseItem="1"/>
    <dataField name="Somme de Receved in XAF" fld="12" baseField="15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eau croisé dynamique4" cacheId="5" applyNumberFormats="0" applyBorderFormats="0" applyFontFormats="0" applyPatternFormats="0" applyAlignmentFormats="0" applyWidthHeightFormats="1" dataCaption="Valeurs" updatedVersion="7" minRefreshableVersion="3" useAutoFormatting="1" itemPrintTitles="1" createdVersion="6" indent="0" outline="1" outlineData="1" multipleFieldFilters="0">
  <location ref="G2:H16" firstHeaderRow="1" firstDataRow="1" firstDataCol="1"/>
  <pivotFields count="5">
    <pivotField numFmtId="14" showAll="0"/>
    <pivotField showAll="0"/>
    <pivotField dataField="1" showAll="0"/>
    <pivotField numFmtId="3" showAll="0"/>
    <pivotField axis="axisRow" showAll="0">
      <items count="14">
        <item x="12"/>
        <item x="5"/>
        <item x="7"/>
        <item x="8"/>
        <item x="6"/>
        <item x="3"/>
        <item x="4"/>
        <item x="1"/>
        <item x="9"/>
        <item x="11"/>
        <item x="10"/>
        <item x="2"/>
        <item x="0"/>
        <item t="default"/>
      </items>
    </pivotField>
  </pivotFields>
  <rowFields count="1"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mme de distributed" fld="2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2" dT="2024-11-19T16:38:26.73" personId="{98584D5A-8469-40CB-92DE-DDEA7199F951}" id="{A12D1BC1-2A0A-4E82-995E-AE42C351895A}">
    <text>Link to the personal balance</text>
  </threadedComment>
  <threadedComment ref="D2" dT="2024-11-19T16:46:00.44" personId="{98584D5A-8469-40CB-92DE-DDEA7199F951}" id="{B9DA9024-4CA0-46CF-BCB7-17B9FFFC34E0}">
    <text>Link to the pivot table „Cash journal“</text>
  </threadedComment>
  <threadedComment ref="E2" dT="2024-11-19T16:46:19.39" personId="{98584D5A-8469-40CB-92DE-DDEA7199F951}" id="{62FAAB4B-6EAF-4972-9E02-C37D118F3FE1}">
    <text>Link to the pivot table „data“</text>
  </threadedComment>
  <threadedComment ref="H2" dT="2024-11-19T16:38:41.72" personId="{98584D5A-8469-40CB-92DE-DDEA7199F951}" id="{CD553CA5-AD13-43FC-A1F7-EF2DE5EF7A94}">
    <text>Link to the personal balance</text>
  </threadedComment>
  <threadedComment ref="I2" dT="2024-11-19T16:38:50.52" personId="{98584D5A-8469-40CB-92DE-DDEA7199F951}" id="{5991BF77-FCF5-4586-9875-1F89E2825A51}">
    <text>formula</text>
  </threadedComment>
  <threadedComment ref="C19" dT="2024-11-19T16:39:21.61" personId="{98584D5A-8469-40CB-92DE-DDEA7199F951}" id="{D10F2EAC-DC88-4867-AF3C-128AC3A279F6}">
    <text>Link to the bank journal</text>
  </threadedComment>
  <threadedComment ref="I19" dT="2024-11-19T16:39:34.22" personId="{98584D5A-8469-40CB-92DE-DDEA7199F951}" id="{E4BF8878-824E-43F9-ABC1-A73CD708EDCD}">
    <text>Link to the bank journal</text>
  </threadedComment>
  <threadedComment ref="C25" dT="2024-11-19T16:39:51.68" personId="{98584D5A-8469-40CB-92DE-DDEA7199F951}" id="{5E3CEF0F-AC62-41D5-A934-AC03EDB0B8D2}">
    <text>Link to the cash journal</text>
  </threadedComment>
  <threadedComment ref="H25" dT="2024-11-19T16:40:03.44" personId="{98584D5A-8469-40CB-92DE-DDEA7199F951}" id="{A6199460-FC62-44E6-AB78-D712E7363C57}">
    <text>Link to the cash journal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6" dT="2024-11-19T17:03:20.17" personId="{98584D5A-8469-40CB-92DE-DDEA7199F951}" id="{C1DF0F66-A833-40DC-8B4A-5A54471ED649}">
    <text>Adjust that according to your country</text>
  </threadedComment>
  <threadedComment ref="F23" dT="2024-11-19T17:02:43.89" personId="{98584D5A-8469-40CB-92DE-DDEA7199F951}" id="{F88D673A-DD35-4DCB-976B-8A96F322437E}">
    <text>Link to the cash journal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5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32"/>
  <sheetViews>
    <sheetView tabSelected="1" zoomScale="83" zoomScaleNormal="83" workbookViewId="0">
      <selection activeCell="L28" sqref="L28"/>
    </sheetView>
  </sheetViews>
  <sheetFormatPr baseColWidth="10" defaultColWidth="8.69921875" defaultRowHeight="13.8"/>
  <cols>
    <col min="1" max="10" width="17.3984375" customWidth="1"/>
    <col min="12" max="13" width="14.69921875" customWidth="1"/>
  </cols>
  <sheetData>
    <row r="1" spans="1:13" ht="41.4">
      <c r="A1" s="79" t="s">
        <v>10</v>
      </c>
      <c r="B1" s="80" t="s">
        <v>11</v>
      </c>
      <c r="C1" s="80" t="s">
        <v>2933</v>
      </c>
      <c r="D1" s="80" t="s">
        <v>12</v>
      </c>
      <c r="E1" s="81" t="s">
        <v>13</v>
      </c>
      <c r="F1" s="81"/>
      <c r="G1" s="81" t="s">
        <v>467</v>
      </c>
      <c r="H1" s="80" t="s">
        <v>2935</v>
      </c>
      <c r="I1" s="82" t="s">
        <v>14</v>
      </c>
      <c r="J1" s="5" t="s">
        <v>15</v>
      </c>
      <c r="L1" s="76" t="s">
        <v>1508</v>
      </c>
      <c r="M1" s="76"/>
    </row>
    <row r="2" spans="1:13" ht="14.4">
      <c r="A2" s="133" t="s">
        <v>440</v>
      </c>
      <c r="B2" s="6" t="s">
        <v>119</v>
      </c>
      <c r="C2" s="7">
        <f>+'Personals balance '!H4</f>
        <v>-154354</v>
      </c>
      <c r="D2" s="235">
        <f>GETPIVOTDATA("Somme de Spent ",'Individual received '!$B$2,"Name","DOVI")+M2</f>
        <v>1055000</v>
      </c>
      <c r="E2" s="8">
        <f>+GETPIVOTDATA("Spent  in XAF",'Individual costs '!$B$2,"Name","DOVI")</f>
        <v>539625</v>
      </c>
      <c r="F2" s="8"/>
      <c r="G2" s="7">
        <f>+GETPIVOTDATA("Somme de Received",'Individual received '!$B$2,"Name","DOVI")</f>
        <v>350000</v>
      </c>
      <c r="H2" s="9">
        <f>+'Personals balance '!H63</f>
        <v>11021</v>
      </c>
      <c r="I2" s="10">
        <f>C2+D2-E2+F2-G2</f>
        <v>11021</v>
      </c>
      <c r="J2" s="11">
        <f>H2-I2</f>
        <v>0</v>
      </c>
      <c r="L2" s="133" t="s">
        <v>440</v>
      </c>
      <c r="M2" s="95">
        <f>+GETPIVOTDATA("distributed",'phone credit '!$G$2,"name","Dovi")</f>
        <v>15000</v>
      </c>
    </row>
    <row r="3" spans="1:13" ht="14.4">
      <c r="A3" s="133" t="s">
        <v>200</v>
      </c>
      <c r="B3" s="6" t="s">
        <v>119</v>
      </c>
      <c r="C3" s="7">
        <f>+'Personals balance '!H67</f>
        <v>44120</v>
      </c>
      <c r="D3" s="235">
        <f>GETPIVOTDATA("Somme de Spent ",'Individual received '!$B$2,"Name","Crépin")+M3</f>
        <v>740000</v>
      </c>
      <c r="E3" s="8">
        <f>+GETPIVOTDATA("Spent  in XAF",'Individual costs '!$B$2,"Name","Crépin")</f>
        <v>583500</v>
      </c>
      <c r="F3" s="8"/>
      <c r="G3" s="7">
        <v>0</v>
      </c>
      <c r="H3" s="9">
        <f>+'Personals balance '!H113</f>
        <v>200620</v>
      </c>
      <c r="I3" s="10">
        <f>C3+D3-E3+F3-G3</f>
        <v>200620</v>
      </c>
      <c r="J3" s="11">
        <f t="shared" ref="J3:J15" si="0">H3-I3</f>
        <v>0</v>
      </c>
      <c r="L3" s="133" t="s">
        <v>200</v>
      </c>
      <c r="M3" s="95">
        <f>GETPIVOTDATA("distributed",'phone credit '!$G$2,"name","Crepin")</f>
        <v>15000</v>
      </c>
    </row>
    <row r="4" spans="1:13" ht="14.4">
      <c r="A4" s="133" t="s">
        <v>157</v>
      </c>
      <c r="B4" s="6" t="s">
        <v>118</v>
      </c>
      <c r="C4" s="7">
        <f>'Personals balance '!H118</f>
        <v>0</v>
      </c>
      <c r="D4" s="235">
        <f>0+M4</f>
        <v>0</v>
      </c>
      <c r="E4" s="8">
        <v>0</v>
      </c>
      <c r="F4" s="8"/>
      <c r="G4" s="7">
        <v>0</v>
      </c>
      <c r="H4" s="9">
        <f>+'Personals balance '!H119</f>
        <v>0</v>
      </c>
      <c r="I4" s="10">
        <f t="shared" ref="I4:I10" si="1">C4+D4-E4+F4-G4</f>
        <v>0</v>
      </c>
      <c r="J4" s="11">
        <f t="shared" si="0"/>
        <v>0</v>
      </c>
      <c r="L4" s="133" t="s">
        <v>157</v>
      </c>
      <c r="M4" s="76">
        <v>0</v>
      </c>
    </row>
    <row r="5" spans="1:13" ht="14.4">
      <c r="A5" s="133" t="s">
        <v>583</v>
      </c>
      <c r="B5" s="6" t="s">
        <v>118</v>
      </c>
      <c r="C5" s="7">
        <f>+'Personals balance '!H124</f>
        <v>-1500</v>
      </c>
      <c r="D5" s="235">
        <f>GETPIVOTDATA("Somme de Spent ",'Individual received '!$B$2,"Name","Parfaite")+M5</f>
        <v>362800</v>
      </c>
      <c r="E5" s="8">
        <f>+GETPIVOTDATA("Spent  in XAF",'Individual costs '!$B$2,"Name","Parfaite")</f>
        <v>349300</v>
      </c>
      <c r="F5" s="8"/>
      <c r="G5" s="7">
        <f>+GETPIVOTDATA("Somme de Received",'Individual received '!$B$2,"Name","Parfaite")</f>
        <v>0</v>
      </c>
      <c r="H5" s="9">
        <f>+'Personals balance '!H220</f>
        <v>12000</v>
      </c>
      <c r="I5" s="10">
        <f>C5+D5-E5+F5-G5</f>
        <v>12000</v>
      </c>
      <c r="J5" s="11">
        <f t="shared" si="0"/>
        <v>0</v>
      </c>
      <c r="L5" s="133" t="s">
        <v>583</v>
      </c>
      <c r="M5" s="95">
        <f>+GETPIVOTDATA("distributed",'phone credit '!$G$2,"name","Parfaite")</f>
        <v>10000</v>
      </c>
    </row>
    <row r="6" spans="1:13" ht="14.4">
      <c r="A6" s="135" t="s">
        <v>441</v>
      </c>
      <c r="B6" s="136" t="s">
        <v>442</v>
      </c>
      <c r="C6" s="156">
        <v>233614</v>
      </c>
      <c r="D6" s="157"/>
      <c r="E6" s="157"/>
      <c r="F6" s="157"/>
      <c r="G6" s="156"/>
      <c r="H6" s="158">
        <v>233614</v>
      </c>
      <c r="I6" s="159">
        <f t="shared" si="1"/>
        <v>233614</v>
      </c>
      <c r="J6" s="11">
        <f t="shared" si="0"/>
        <v>0</v>
      </c>
      <c r="L6" s="135" t="s">
        <v>441</v>
      </c>
      <c r="M6" s="76"/>
    </row>
    <row r="7" spans="1:13" ht="14.4">
      <c r="A7" s="135" t="s">
        <v>443</v>
      </c>
      <c r="B7" s="136" t="s">
        <v>442</v>
      </c>
      <c r="C7" s="156">
        <v>249769</v>
      </c>
      <c r="D7" s="157"/>
      <c r="E7" s="157"/>
      <c r="F7" s="157"/>
      <c r="G7" s="156"/>
      <c r="H7" s="158">
        <v>249769</v>
      </c>
      <c r="I7" s="159">
        <f t="shared" si="1"/>
        <v>249769</v>
      </c>
      <c r="J7" s="11">
        <f t="shared" si="0"/>
        <v>0</v>
      </c>
      <c r="L7" s="135" t="s">
        <v>443</v>
      </c>
      <c r="M7" s="76"/>
    </row>
    <row r="8" spans="1:13" ht="15">
      <c r="A8" s="134" t="s">
        <v>317</v>
      </c>
      <c r="B8" s="6" t="s">
        <v>442</v>
      </c>
      <c r="C8" s="7">
        <f>+'Personals balance '!H385</f>
        <v>7300</v>
      </c>
      <c r="D8" s="235">
        <f>GETPIVOTDATA("Somme de Spent ",'Individual received '!$B$2,"Name","IT87")+M8</f>
        <v>221000</v>
      </c>
      <c r="E8" s="8">
        <f>GETPIVOTDATA("Spent  in XAF",'Individual costs '!$B$2,"Name","IT87")</f>
        <v>216000</v>
      </c>
      <c r="F8" s="8"/>
      <c r="G8" s="7">
        <v>0</v>
      </c>
      <c r="H8" s="9">
        <f>+'Personals balance '!H447</f>
        <v>12300</v>
      </c>
      <c r="I8" s="10">
        <f t="shared" si="1"/>
        <v>12300</v>
      </c>
      <c r="J8" s="11">
        <f t="shared" si="0"/>
        <v>0</v>
      </c>
      <c r="L8" s="134" t="s">
        <v>317</v>
      </c>
      <c r="M8" s="95">
        <f>GETPIVOTDATA("distributed",'phone credit '!$G$2,"name","IT87")</f>
        <v>20000</v>
      </c>
    </row>
    <row r="9" spans="1:13" ht="14.4">
      <c r="A9" s="133" t="s">
        <v>184</v>
      </c>
      <c r="B9" s="6" t="s">
        <v>442</v>
      </c>
      <c r="C9" s="7">
        <f>+'Personals balance '!H225</f>
        <v>146710</v>
      </c>
      <c r="D9" s="235">
        <f>GETPIVOTDATA("Somme de Spent ",'Individual received '!$B$2,"Name","P29")+M9</f>
        <v>1093000</v>
      </c>
      <c r="E9" s="8">
        <f>GETPIVOTDATA("Spent  in XAF",'Individual costs '!$B$2,"Name","P29")</f>
        <v>1086000</v>
      </c>
      <c r="F9" s="8"/>
      <c r="G9" s="7">
        <f>+GETPIVOTDATA("Somme de Received",'Individual received '!$B$2,"Name","P29")</f>
        <v>20000</v>
      </c>
      <c r="H9" s="9">
        <f>+'Personals balance '!H308</f>
        <v>133710</v>
      </c>
      <c r="I9" s="10">
        <f t="shared" si="1"/>
        <v>133710</v>
      </c>
      <c r="J9" s="11">
        <f t="shared" si="0"/>
        <v>0</v>
      </c>
      <c r="L9" s="133" t="s">
        <v>184</v>
      </c>
      <c r="M9" s="95">
        <f>GETPIVOTDATA("distributed",'phone credit '!$G$2,"name","P29")</f>
        <v>25000</v>
      </c>
    </row>
    <row r="10" spans="1:13" ht="14.4">
      <c r="A10" s="133" t="s">
        <v>175</v>
      </c>
      <c r="B10" s="6" t="s">
        <v>442</v>
      </c>
      <c r="C10" s="7">
        <f>+'Personals balance '!H313</f>
        <v>107950</v>
      </c>
      <c r="D10" s="235">
        <f>GETPIVOTDATA("Somme de Spent ",'Individual received '!$B$2,"Name","T73")+M10</f>
        <v>603000</v>
      </c>
      <c r="E10" s="8">
        <f>GETPIVOTDATA("Spent  in XAF",'Individual costs '!$B$2,"Name","T73")</f>
        <v>557000</v>
      </c>
      <c r="F10" s="8"/>
      <c r="G10" s="7">
        <f>+GETPIVOTDATA("Somme de Received",'Individual received '!$B$2,"Name","T73")</f>
        <v>0</v>
      </c>
      <c r="H10" s="9">
        <f>+'Personals balance '!H380</f>
        <v>153950</v>
      </c>
      <c r="I10" s="10">
        <f t="shared" si="1"/>
        <v>153950</v>
      </c>
      <c r="J10" s="11">
        <f t="shared" si="0"/>
        <v>0</v>
      </c>
      <c r="L10" s="133" t="s">
        <v>175</v>
      </c>
      <c r="M10" s="95">
        <f>GETPIVOTDATA("distributed",'phone credit '!$G$2,"name","T73")</f>
        <v>25000</v>
      </c>
    </row>
    <row r="11" spans="1:13" ht="14.4">
      <c r="A11" s="129" t="s">
        <v>323</v>
      </c>
      <c r="B11" s="233" t="s">
        <v>442</v>
      </c>
      <c r="C11" s="234">
        <f>+'Personals balance '!H452</f>
        <v>0</v>
      </c>
      <c r="D11" s="235">
        <f>GETPIVOTDATA("Somme de Spent ",'Individual received '!$B$2,"Name","G12")+M11</f>
        <v>223000</v>
      </c>
      <c r="E11" s="235">
        <f>GETPIVOTDATA("Spent  in XAF",'Individual costs '!$B$2,"Name","G12")</f>
        <v>220000</v>
      </c>
      <c r="F11" s="235"/>
      <c r="G11" s="234">
        <f>+GETPIVOTDATA("Somme de Received",'Individual received '!$B$2,"Name","G12")</f>
        <v>0</v>
      </c>
      <c r="H11" s="236">
        <f>+'Personals balance '!H510</f>
        <v>3000</v>
      </c>
      <c r="I11" s="237">
        <f t="shared" ref="I11:I16" si="2">C11+D11-E11+F11-G11</f>
        <v>3000</v>
      </c>
      <c r="J11" s="11">
        <f t="shared" si="0"/>
        <v>0</v>
      </c>
      <c r="L11" s="76" t="s">
        <v>323</v>
      </c>
      <c r="M11" s="95">
        <f>GETPIVOTDATA("distributed",'phone credit '!$G$2,"name","G12")</f>
        <v>20000</v>
      </c>
    </row>
    <row r="12" spans="1:13" ht="14.4">
      <c r="A12" s="238" t="s">
        <v>187</v>
      </c>
      <c r="B12" s="233" t="s">
        <v>117</v>
      </c>
      <c r="C12" s="239">
        <f>+'Personals balance '!H774</f>
        <v>47</v>
      </c>
      <c r="D12" s="235">
        <f>GETPIVOTDATA("Somme de Spent ",'Individual received '!$B$2,"Name","Romain")+M12</f>
        <v>73900</v>
      </c>
      <c r="E12" s="240">
        <f>+GETPIVOTDATA("Spent  in XAF",'Individual costs '!$B$2,"Name","Romain")</f>
        <v>68900</v>
      </c>
      <c r="F12" s="129"/>
      <c r="G12" s="129">
        <f>+GETPIVOTDATA("Somme de Received",'Individual received '!$B$2,"Name",)</f>
        <v>0</v>
      </c>
      <c r="H12" s="239">
        <f>+'Personals balance '!H797</f>
        <v>5047</v>
      </c>
      <c r="I12" s="237">
        <f t="shared" si="2"/>
        <v>5047</v>
      </c>
      <c r="J12" s="11">
        <f t="shared" si="0"/>
        <v>0</v>
      </c>
      <c r="L12" s="133" t="s">
        <v>187</v>
      </c>
      <c r="M12" s="95">
        <f>+GETPIVOTDATA("distributed",'phone credit '!$G$2,"name","Romain")</f>
        <v>10000</v>
      </c>
    </row>
    <row r="13" spans="1:13" ht="14.4">
      <c r="A13" s="133" t="s">
        <v>437</v>
      </c>
      <c r="B13" s="6" t="s">
        <v>117</v>
      </c>
      <c r="C13" s="12">
        <f>+'Personals balance '!H610</f>
        <v>5180</v>
      </c>
      <c r="D13" s="239">
        <f>GETPIVOTDATA("Somme de Spent ",'Individual received '!$B$2,"Name","Donald-Roméo")+M13</f>
        <v>656000</v>
      </c>
      <c r="E13" s="13">
        <f>+GETPIVOTDATA("Spent  in XAF",'Individual costs '!$B$2,"Name","Donald-Romeo")</f>
        <v>384350</v>
      </c>
      <c r="F13" s="76"/>
      <c r="G13" s="124">
        <f>+GETPIVOTDATA("Somme de Received",'Individual received '!$B$2,"Name","Donald-Roméo")</f>
        <v>0</v>
      </c>
      <c r="H13" s="125">
        <f>+'Personals balance '!H682</f>
        <v>276830</v>
      </c>
      <c r="I13" s="10">
        <f t="shared" si="2"/>
        <v>276830</v>
      </c>
      <c r="J13" s="11">
        <f t="shared" si="0"/>
        <v>0</v>
      </c>
      <c r="L13" s="133" t="s">
        <v>437</v>
      </c>
      <c r="M13" s="95">
        <f>GETPIVOTDATA("distributed",'phone credit '!$G$2,"name","Donald-Romeo")</f>
        <v>15000</v>
      </c>
    </row>
    <row r="14" spans="1:13" ht="14.4">
      <c r="A14" s="133" t="s">
        <v>190</v>
      </c>
      <c r="B14" s="6" t="s">
        <v>117</v>
      </c>
      <c r="C14" s="12">
        <f>+'Personals balance '!H514</f>
        <v>9950</v>
      </c>
      <c r="D14" s="239">
        <f>GETPIVOTDATA("Somme de Spent ",'Individual received '!$B$2,"Name","Abraham")+M14</f>
        <v>188690</v>
      </c>
      <c r="E14" s="13">
        <f>+GETPIVOTDATA("Spent  in XAF",'Individual costs '!$B$2,"Name","Abraham")</f>
        <v>179690</v>
      </c>
      <c r="F14" s="76"/>
      <c r="G14" s="124">
        <f>+GETPIVOTDATA("Somme de Received",'Individual received '!$B$2,"Name","Abraham")</f>
        <v>0</v>
      </c>
      <c r="H14" s="125">
        <f>+'Personals balance '!H549</f>
        <v>18950</v>
      </c>
      <c r="I14" s="10">
        <f t="shared" si="2"/>
        <v>18950</v>
      </c>
      <c r="J14" s="11">
        <f t="shared" si="0"/>
        <v>0</v>
      </c>
      <c r="L14" s="133" t="s">
        <v>190</v>
      </c>
      <c r="M14" s="95">
        <f>+GETPIVOTDATA("distributed",'phone credit '!$G$2,"name","Abraham")</f>
        <v>10000</v>
      </c>
    </row>
    <row r="15" spans="1:13" ht="14.4">
      <c r="A15" s="133" t="s">
        <v>193</v>
      </c>
      <c r="B15" s="6" t="s">
        <v>117</v>
      </c>
      <c r="C15" s="12">
        <f>+'Personals balance '!H555</f>
        <v>5900</v>
      </c>
      <c r="D15" s="239">
        <f>GETPIVOTDATA("Somme de Spent ",'Individual received '!$B$2,"Name","Roderlin")+M15</f>
        <v>535000</v>
      </c>
      <c r="E15" s="13">
        <f>+GETPIVOTDATA("Spent  in XAF",'Individual costs '!$B$2,"Name","Roderlin")</f>
        <v>463500</v>
      </c>
      <c r="F15" s="76"/>
      <c r="G15" s="124">
        <f>+GETPIVOTDATA("Somme de Received",'Individual received '!$B$2,"Name","Roderlin")</f>
        <v>0</v>
      </c>
      <c r="H15" s="125">
        <f>+'Personals balance '!H606</f>
        <v>77400</v>
      </c>
      <c r="I15" s="10">
        <f t="shared" si="2"/>
        <v>77400</v>
      </c>
      <c r="J15" s="11">
        <f t="shared" si="0"/>
        <v>0</v>
      </c>
      <c r="L15" s="133" t="s">
        <v>193</v>
      </c>
      <c r="M15" s="95">
        <f>+GETPIVOTDATA("distributed",'phone credit '!$G$2,"name","Roderlin")</f>
        <v>10000</v>
      </c>
    </row>
    <row r="16" spans="1:13" ht="14.4">
      <c r="A16" s="133" t="s">
        <v>213</v>
      </c>
      <c r="B16" s="6" t="s">
        <v>120</v>
      </c>
      <c r="C16" s="12">
        <f>+'Personals balance '!H686</f>
        <v>3050</v>
      </c>
      <c r="D16" s="239">
        <f>GETPIVOTDATA("Somme de Spent ",'Individual received '!$B$2,"Name","Evariste")+M16</f>
        <v>934000</v>
      </c>
      <c r="E16" s="13">
        <f>+GETPIVOTDATA("Spent  in XAF",'Individual costs '!$B$2,"Name","Evariste")</f>
        <v>634000</v>
      </c>
      <c r="F16" s="76"/>
      <c r="G16" s="124">
        <f>+GETPIVOTDATA("Somme de Received",'Individual received '!$B$2,"Name","Evariste")</f>
        <v>0</v>
      </c>
      <c r="H16" s="125">
        <f>'Personals balance '!H768</f>
        <v>303050</v>
      </c>
      <c r="I16" s="10">
        <f t="shared" si="2"/>
        <v>303050</v>
      </c>
      <c r="J16" s="11">
        <f>H16-I16</f>
        <v>0</v>
      </c>
      <c r="L16" s="133" t="s">
        <v>213</v>
      </c>
      <c r="M16" s="95">
        <f>GETPIVOTDATA("distributed",'phone credit '!$G$2,"name","Evariste")</f>
        <v>15000</v>
      </c>
    </row>
    <row r="17" spans="1:13" ht="14.4">
      <c r="A17" s="14" t="s">
        <v>18</v>
      </c>
      <c r="B17" s="15"/>
      <c r="C17" s="16">
        <f t="shared" ref="C17:I17" si="3">SUM(C2:C16)</f>
        <v>657736</v>
      </c>
      <c r="D17" s="16">
        <f t="shared" si="3"/>
        <v>6685390</v>
      </c>
      <c r="E17" s="16">
        <f t="shared" si="3"/>
        <v>5281865</v>
      </c>
      <c r="F17" s="16">
        <f t="shared" si="3"/>
        <v>0</v>
      </c>
      <c r="G17" s="16">
        <f t="shared" si="3"/>
        <v>370000</v>
      </c>
      <c r="H17" s="16">
        <f t="shared" si="3"/>
        <v>1691261</v>
      </c>
      <c r="I17" s="16">
        <f t="shared" si="3"/>
        <v>1691261</v>
      </c>
      <c r="J17" s="17">
        <f>H17-I17</f>
        <v>0</v>
      </c>
      <c r="M17" s="71">
        <f>SUM(M2:M16)</f>
        <v>190000</v>
      </c>
    </row>
    <row r="18" spans="1:13" ht="14.4">
      <c r="A18" s="18"/>
      <c r="B18" s="19"/>
      <c r="C18" s="20"/>
      <c r="D18" s="21"/>
      <c r="E18" s="21"/>
      <c r="F18" s="77" t="s">
        <v>16</v>
      </c>
      <c r="G18" s="78" t="s">
        <v>17</v>
      </c>
      <c r="H18" s="20"/>
      <c r="I18" s="22"/>
      <c r="J18" s="11"/>
    </row>
    <row r="19" spans="1:13" ht="14.4">
      <c r="A19" s="23" t="s">
        <v>28</v>
      </c>
      <c r="B19" s="24"/>
      <c r="C19" s="25">
        <f>+'Bank journal '!H2</f>
        <v>1505634</v>
      </c>
      <c r="D19" s="26">
        <f>'DATA Août 2025'!M87+'DATA Août 2025'!M88</f>
        <v>17052862</v>
      </c>
      <c r="E19" s="25">
        <f>+GETPIVOTDATA("Spent  in XAF",'Individual costs '!$B$2,"Name","BCI")</f>
        <v>6410406</v>
      </c>
      <c r="F19" s="25"/>
      <c r="G19" s="25">
        <f>+GETPIVOTDATA("Somme de Received",'Individual received '!$B$2,"Name","BCI")</f>
        <v>6300000</v>
      </c>
      <c r="H19" s="26">
        <f>+'Bank reconciliation '!D75</f>
        <v>5848090</v>
      </c>
      <c r="I19" s="27">
        <f>C19+D19-E19+F19-G19</f>
        <v>5848090</v>
      </c>
      <c r="J19" s="11">
        <f>H19-I19</f>
        <v>0</v>
      </c>
    </row>
    <row r="20" spans="1:13" ht="14.4">
      <c r="A20" s="83" t="s">
        <v>19</v>
      </c>
      <c r="B20" s="84"/>
      <c r="C20" s="84">
        <f t="shared" ref="C20:I20" si="4">SUM(C19:C19)</f>
        <v>1505634</v>
      </c>
      <c r="D20" s="84">
        <f t="shared" si="4"/>
        <v>17052862</v>
      </c>
      <c r="E20" s="84">
        <f t="shared" si="4"/>
        <v>6410406</v>
      </c>
      <c r="F20" s="84">
        <f t="shared" si="4"/>
        <v>0</v>
      </c>
      <c r="G20" s="84">
        <f t="shared" si="4"/>
        <v>6300000</v>
      </c>
      <c r="H20" s="84">
        <f t="shared" si="4"/>
        <v>5848090</v>
      </c>
      <c r="I20" s="85">
        <f t="shared" si="4"/>
        <v>5848090</v>
      </c>
      <c r="J20" s="17">
        <f>H20-I20</f>
        <v>0</v>
      </c>
    </row>
    <row r="21" spans="1:13" ht="14.4">
      <c r="A21" s="28" t="s">
        <v>20</v>
      </c>
      <c r="B21" s="29"/>
      <c r="C21" s="29"/>
      <c r="D21" s="30"/>
      <c r="E21" s="31"/>
      <c r="F21" s="29"/>
      <c r="G21" s="29"/>
      <c r="H21" s="29"/>
      <c r="I21" s="32"/>
      <c r="J21" s="33"/>
    </row>
    <row r="22" spans="1:13" ht="15" thickBot="1">
      <c r="A22" s="34"/>
      <c r="B22" s="35"/>
      <c r="C22" s="35"/>
      <c r="D22" s="35"/>
      <c r="E22" s="35"/>
      <c r="F22" s="35"/>
      <c r="G22" s="35"/>
      <c r="H22" s="35"/>
      <c r="I22" s="36"/>
      <c r="J22" s="11"/>
    </row>
    <row r="23" spans="1:13" ht="15" thickBot="1">
      <c r="A23" s="37" t="s">
        <v>21</v>
      </c>
      <c r="B23" s="38"/>
      <c r="C23" s="38"/>
      <c r="D23" s="38"/>
      <c r="E23" s="38">
        <f>E17+E20</f>
        <v>11692271</v>
      </c>
      <c r="F23" s="38"/>
      <c r="G23" s="38"/>
      <c r="H23" s="38"/>
      <c r="I23" s="39"/>
      <c r="J23" s="40"/>
    </row>
    <row r="24" spans="1:13" ht="14.4">
      <c r="A24" s="41"/>
      <c r="B24" s="42"/>
      <c r="C24" s="42"/>
      <c r="D24" s="42"/>
      <c r="E24" s="42"/>
      <c r="F24" s="42"/>
      <c r="G24" s="42"/>
      <c r="H24" s="42"/>
      <c r="I24" s="43"/>
      <c r="J24" s="11"/>
    </row>
    <row r="25" spans="1:13" ht="14.4">
      <c r="A25" s="44" t="s">
        <v>22</v>
      </c>
      <c r="B25" s="45"/>
      <c r="C25" s="46">
        <f>'Cash journal '!G2</f>
        <v>72370</v>
      </c>
      <c r="D25" s="47">
        <f>GETPIVOTDATA("Somme de Received",'Individual received '!$B$2)</f>
        <v>6670000</v>
      </c>
      <c r="E25" s="47">
        <f>GETPIVOTDATA("Somme de Spent ",'Individual received '!$B$2)</f>
        <v>6685390</v>
      </c>
      <c r="F25" s="47"/>
      <c r="G25" s="47"/>
      <c r="H25" s="47">
        <f>'Cash journal '!G76</f>
        <v>56980</v>
      </c>
      <c r="I25" s="48">
        <f>C25+D25-E25+F25</f>
        <v>56980</v>
      </c>
      <c r="J25" s="11">
        <f>H25-I25</f>
        <v>0</v>
      </c>
    </row>
    <row r="26" spans="1:13" ht="15" thickBot="1">
      <c r="A26" s="49"/>
      <c r="B26" s="50"/>
      <c r="C26" s="50"/>
      <c r="D26" s="50"/>
      <c r="E26" s="50"/>
      <c r="F26" s="50"/>
      <c r="G26" s="50"/>
      <c r="H26" s="50"/>
      <c r="I26" s="50"/>
      <c r="J26" s="51"/>
    </row>
    <row r="27" spans="1:13" ht="15.6">
      <c r="A27" s="52"/>
      <c r="B27" s="53"/>
      <c r="C27" s="54"/>
      <c r="D27" s="554" t="s">
        <v>23</v>
      </c>
      <c r="E27" s="554"/>
      <c r="F27" s="54"/>
      <c r="G27" s="54"/>
      <c r="H27" s="54"/>
      <c r="I27" s="55"/>
      <c r="J27" s="56"/>
    </row>
    <row r="28" spans="1:13" ht="46.8">
      <c r="A28" s="57"/>
      <c r="B28" s="58"/>
      <c r="C28" s="59" t="s">
        <v>2939</v>
      </c>
      <c r="D28" s="59" t="s">
        <v>31</v>
      </c>
      <c r="E28" s="59" t="s">
        <v>24</v>
      </c>
      <c r="F28" s="59"/>
      <c r="G28" s="59"/>
      <c r="H28" s="59" t="s">
        <v>2934</v>
      </c>
      <c r="I28" s="59" t="s">
        <v>25</v>
      </c>
      <c r="J28" s="60" t="s">
        <v>26</v>
      </c>
    </row>
    <row r="29" spans="1:13" ht="16.2" thickBot="1">
      <c r="A29" s="61" t="s">
        <v>27</v>
      </c>
      <c r="B29" s="62"/>
      <c r="C29" s="63">
        <f>C25+C20+C17</f>
        <v>2235740</v>
      </c>
      <c r="D29" s="63">
        <f>+D20</f>
        <v>17052862</v>
      </c>
      <c r="E29" s="63">
        <f>E23</f>
        <v>11692271</v>
      </c>
      <c r="F29" s="64"/>
      <c r="G29" s="63"/>
      <c r="H29" s="63">
        <f>+H25+H20+H17</f>
        <v>7596331</v>
      </c>
      <c r="I29" s="63">
        <f>C29+D29-E29</f>
        <v>7596331</v>
      </c>
      <c r="J29" s="65">
        <f>H29-I29</f>
        <v>0</v>
      </c>
    </row>
    <row r="31" spans="1:13">
      <c r="F31" s="163"/>
    </row>
    <row r="32" spans="1:13">
      <c r="F32" s="163"/>
    </row>
  </sheetData>
  <mergeCells count="1">
    <mergeCell ref="D27:E27"/>
  </mergeCells>
  <phoneticPr fontId="28" type="noConversion"/>
  <pageMargins left="0.7" right="0.7" top="0.78740157499999996" bottom="0.78740157499999996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G31"/>
  <sheetViews>
    <sheetView workbookViewId="0">
      <selection activeCell="T54" sqref="T54"/>
    </sheetView>
  </sheetViews>
  <sheetFormatPr baseColWidth="10" defaultColWidth="8.69921875" defaultRowHeight="13.8"/>
  <cols>
    <col min="1" max="1" width="2.69921875" customWidth="1"/>
    <col min="2" max="2" width="15.09765625" customWidth="1"/>
    <col min="3" max="3" width="11.09765625" style="71" customWidth="1"/>
    <col min="4" max="4" width="11.09765625" style="97" customWidth="1"/>
    <col min="5" max="5" width="11.09765625" customWidth="1"/>
    <col min="6" max="6" width="14.69921875" customWidth="1"/>
  </cols>
  <sheetData>
    <row r="1" spans="2:6">
      <c r="B1" t="s">
        <v>68</v>
      </c>
      <c r="C1" s="71" t="s">
        <v>98</v>
      </c>
    </row>
    <row r="2" spans="2:6">
      <c r="B2" t="s">
        <v>69</v>
      </c>
      <c r="C2" s="71" t="s">
        <v>2341</v>
      </c>
    </row>
    <row r="3" spans="2:6">
      <c r="B3" t="s">
        <v>70</v>
      </c>
      <c r="C3" s="149">
        <v>2025</v>
      </c>
    </row>
    <row r="4" spans="2:6">
      <c r="C4"/>
    </row>
    <row r="5" spans="2:6">
      <c r="B5" s="91" t="s">
        <v>58</v>
      </c>
      <c r="C5" s="95"/>
      <c r="D5" s="96"/>
      <c r="E5" s="76"/>
      <c r="F5" s="76"/>
    </row>
    <row r="6" spans="2:6">
      <c r="B6" s="91"/>
      <c r="C6" s="95" t="s">
        <v>64</v>
      </c>
      <c r="D6" s="96"/>
      <c r="E6" s="76" t="s">
        <v>65</v>
      </c>
      <c r="F6" s="76"/>
    </row>
    <row r="7" spans="2:6">
      <c r="B7" s="76"/>
      <c r="C7" s="95">
        <v>10000</v>
      </c>
      <c r="D7" s="96" t="s">
        <v>59</v>
      </c>
      <c r="E7" s="76">
        <v>5</v>
      </c>
      <c r="F7" s="92">
        <f>C7*E7</f>
        <v>50000</v>
      </c>
    </row>
    <row r="8" spans="2:6">
      <c r="B8" s="76"/>
      <c r="C8" s="95">
        <v>5000</v>
      </c>
      <c r="D8" s="96" t="s">
        <v>59</v>
      </c>
      <c r="E8" s="76">
        <v>1</v>
      </c>
      <c r="F8" s="92">
        <f>C8*E8</f>
        <v>5000</v>
      </c>
    </row>
    <row r="9" spans="2:6">
      <c r="B9" s="76"/>
      <c r="C9" s="95">
        <v>2000</v>
      </c>
      <c r="D9" s="96" t="s">
        <v>59</v>
      </c>
      <c r="E9" s="76">
        <v>0</v>
      </c>
      <c r="F9" s="92">
        <f>C9*E9</f>
        <v>0</v>
      </c>
    </row>
    <row r="10" spans="2:6">
      <c r="B10" s="76"/>
      <c r="C10" s="95">
        <v>1000</v>
      </c>
      <c r="D10" s="96" t="s">
        <v>59</v>
      </c>
      <c r="E10" s="76">
        <v>2</v>
      </c>
      <c r="F10" s="92">
        <f>C10*E10</f>
        <v>2000</v>
      </c>
    </row>
    <row r="11" spans="2:6">
      <c r="B11" s="76"/>
      <c r="C11" s="95">
        <v>500</v>
      </c>
      <c r="D11" s="96" t="s">
        <v>59</v>
      </c>
      <c r="E11" s="76">
        <v>0</v>
      </c>
      <c r="F11" s="92">
        <f>C11*E11</f>
        <v>0</v>
      </c>
    </row>
    <row r="12" spans="2:6">
      <c r="B12" s="76"/>
      <c r="C12" s="95"/>
      <c r="D12" s="96"/>
      <c r="E12" s="76"/>
      <c r="F12" s="76"/>
    </row>
    <row r="13" spans="2:6">
      <c r="B13" s="93" t="s">
        <v>60</v>
      </c>
      <c r="C13" s="95"/>
      <c r="D13" s="96"/>
      <c r="E13" s="76"/>
      <c r="F13" s="76"/>
    </row>
    <row r="14" spans="2:6">
      <c r="B14" s="76"/>
      <c r="C14" s="95">
        <v>500</v>
      </c>
      <c r="D14" s="96" t="s">
        <v>59</v>
      </c>
      <c r="E14" s="76">
        <v>0</v>
      </c>
      <c r="F14" s="76">
        <f t="shared" ref="F14:F19" si="0">C14*E14</f>
        <v>0</v>
      </c>
    </row>
    <row r="15" spans="2:6">
      <c r="B15" s="76"/>
      <c r="C15" s="95">
        <v>100</v>
      </c>
      <c r="D15" s="96" t="s">
        <v>59</v>
      </c>
      <c r="E15" s="76">
        <v>0</v>
      </c>
      <c r="F15" s="76">
        <f t="shared" si="0"/>
        <v>0</v>
      </c>
    </row>
    <row r="16" spans="2:6">
      <c r="B16" s="76"/>
      <c r="C16" s="95">
        <v>50</v>
      </c>
      <c r="D16" s="96" t="s">
        <v>59</v>
      </c>
      <c r="E16" s="76">
        <v>0</v>
      </c>
      <c r="F16" s="76">
        <f t="shared" si="0"/>
        <v>0</v>
      </c>
    </row>
    <row r="17" spans="2:7">
      <c r="B17" s="76"/>
      <c r="C17" s="95">
        <v>25</v>
      </c>
      <c r="D17" s="96" t="s">
        <v>59</v>
      </c>
      <c r="E17" s="76">
        <v>0</v>
      </c>
      <c r="F17" s="76">
        <f t="shared" si="0"/>
        <v>0</v>
      </c>
    </row>
    <row r="18" spans="2:7">
      <c r="B18" s="76"/>
      <c r="C18" s="95">
        <v>10</v>
      </c>
      <c r="D18" s="96" t="s">
        <v>59</v>
      </c>
      <c r="E18" s="76">
        <v>0</v>
      </c>
      <c r="F18" s="76">
        <f t="shared" si="0"/>
        <v>0</v>
      </c>
    </row>
    <row r="19" spans="2:7">
      <c r="B19" s="76"/>
      <c r="C19" s="95">
        <v>5</v>
      </c>
      <c r="D19" s="96" t="s">
        <v>59</v>
      </c>
      <c r="E19" s="76">
        <v>0</v>
      </c>
      <c r="F19" s="76">
        <f t="shared" si="0"/>
        <v>0</v>
      </c>
    </row>
    <row r="20" spans="2:7">
      <c r="B20" s="76"/>
      <c r="C20" s="95"/>
      <c r="D20" s="96"/>
      <c r="E20" s="76"/>
      <c r="F20" s="94">
        <f>SUM(F7:F19)</f>
        <v>57000</v>
      </c>
    </row>
    <row r="21" spans="2:7">
      <c r="B21" s="76"/>
      <c r="C21" s="95"/>
      <c r="D21" s="96"/>
      <c r="E21" s="76"/>
      <c r="F21" s="91"/>
    </row>
    <row r="22" spans="2:7">
      <c r="B22" s="76" t="s">
        <v>61</v>
      </c>
      <c r="C22" s="95"/>
      <c r="D22" s="96"/>
      <c r="E22" s="76"/>
      <c r="F22" s="94">
        <f>F20</f>
        <v>57000</v>
      </c>
    </row>
    <row r="23" spans="2:7">
      <c r="B23" s="76" t="s">
        <v>62</v>
      </c>
      <c r="C23" s="95"/>
      <c r="D23" s="96"/>
      <c r="E23" s="76"/>
      <c r="F23" s="94">
        <f>'Cash journal '!G76</f>
        <v>56980</v>
      </c>
    </row>
    <row r="24" spans="2:7">
      <c r="B24" s="76" t="s">
        <v>63</v>
      </c>
      <c r="C24" s="95"/>
      <c r="D24" s="96"/>
      <c r="E24" s="76"/>
      <c r="F24" s="92">
        <f>+F22-F23</f>
        <v>20</v>
      </c>
    </row>
    <row r="26" spans="2:7">
      <c r="B26" t="s">
        <v>1422</v>
      </c>
    </row>
    <row r="28" spans="2:7">
      <c r="B28" t="s">
        <v>66</v>
      </c>
      <c r="F28" t="s">
        <v>67</v>
      </c>
    </row>
    <row r="31" spans="2:7">
      <c r="B31" s="90" t="s">
        <v>1894</v>
      </c>
      <c r="C31" s="153"/>
      <c r="D31" s="154"/>
      <c r="E31" s="152"/>
      <c r="F31" s="155" t="s">
        <v>471</v>
      </c>
      <c r="G31" s="152"/>
    </row>
  </sheetData>
  <pageMargins left="0.7" right="0.7" top="0.78740157499999996" bottom="0.78740157499999996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1993"/>
  <sheetViews>
    <sheetView workbookViewId="0">
      <pane ySplit="181" topLeftCell="A182" activePane="bottomLeft" state="frozen"/>
      <selection pane="bottomLeft" activeCell="M1995" sqref="M1995"/>
    </sheetView>
  </sheetViews>
  <sheetFormatPr baseColWidth="10" defaultColWidth="9.09765625" defaultRowHeight="14.4"/>
  <cols>
    <col min="1" max="1" width="13.8984375" style="285" customWidth="1"/>
    <col min="2" max="2" width="47" style="285" customWidth="1"/>
    <col min="3" max="10" width="13.8984375" style="285" customWidth="1"/>
    <col min="11" max="11" width="10.69921875" style="285" customWidth="1"/>
    <col min="12" max="15" width="13.8984375" style="285" customWidth="1"/>
    <col min="16" max="16384" width="9.09765625" style="285"/>
  </cols>
  <sheetData>
    <row r="1" spans="1:15">
      <c r="A1" s="255" t="s">
        <v>0</v>
      </c>
      <c r="B1" s="1" t="s">
        <v>1</v>
      </c>
      <c r="C1" s="1" t="s">
        <v>2</v>
      </c>
      <c r="D1" s="1" t="s">
        <v>3</v>
      </c>
      <c r="E1" s="70" t="s">
        <v>150</v>
      </c>
      <c r="F1" s="72" t="s">
        <v>4</v>
      </c>
      <c r="G1" s="2" t="s">
        <v>5</v>
      </c>
      <c r="H1" s="3" t="s">
        <v>10</v>
      </c>
      <c r="I1" s="3" t="s">
        <v>6</v>
      </c>
      <c r="J1" s="3" t="s">
        <v>7</v>
      </c>
      <c r="K1" s="4" t="s">
        <v>8</v>
      </c>
      <c r="L1" s="3" t="s">
        <v>9</v>
      </c>
      <c r="M1" s="70" t="s">
        <v>149</v>
      </c>
      <c r="N1" s="70" t="s">
        <v>468</v>
      </c>
      <c r="O1" s="3" t="s">
        <v>71</v>
      </c>
    </row>
    <row r="2" spans="1:15" hidden="1">
      <c r="A2" s="256">
        <v>45659</v>
      </c>
      <c r="B2" s="257" t="s">
        <v>151</v>
      </c>
      <c r="C2" s="257" t="s">
        <v>152</v>
      </c>
      <c r="D2" s="258" t="s">
        <v>119</v>
      </c>
      <c r="E2" s="259">
        <v>20000</v>
      </c>
      <c r="F2" s="259">
        <v>35.074489446962986</v>
      </c>
      <c r="G2" s="260">
        <v>570.21500000000003</v>
      </c>
      <c r="H2" s="261" t="s">
        <v>153</v>
      </c>
      <c r="I2" s="261" t="s">
        <v>154</v>
      </c>
      <c r="J2" s="261" t="s">
        <v>98</v>
      </c>
      <c r="K2" s="262" t="s">
        <v>1901</v>
      </c>
      <c r="L2" s="261" t="s">
        <v>2085</v>
      </c>
      <c r="M2" s="257"/>
      <c r="N2" s="257"/>
      <c r="O2" s="257"/>
    </row>
    <row r="3" spans="1:15" hidden="1">
      <c r="A3" s="256">
        <v>45659</v>
      </c>
      <c r="B3" s="257" t="s">
        <v>156</v>
      </c>
      <c r="C3" s="257" t="s">
        <v>152</v>
      </c>
      <c r="D3" s="257" t="s">
        <v>118</v>
      </c>
      <c r="E3" s="259">
        <v>21000</v>
      </c>
      <c r="F3" s="259">
        <v>36.828213919311132</v>
      </c>
      <c r="G3" s="260">
        <v>570.21500000000003</v>
      </c>
      <c r="H3" s="261" t="s">
        <v>157</v>
      </c>
      <c r="I3" s="261" t="s">
        <v>158</v>
      </c>
      <c r="J3" s="261" t="s">
        <v>98</v>
      </c>
      <c r="K3" s="262" t="s">
        <v>1901</v>
      </c>
      <c r="L3" s="261" t="s">
        <v>2085</v>
      </c>
      <c r="M3" s="257"/>
      <c r="N3" s="257"/>
      <c r="O3" s="257"/>
    </row>
    <row r="4" spans="1:15" hidden="1">
      <c r="A4" s="256">
        <v>45659</v>
      </c>
      <c r="B4" s="257" t="s">
        <v>159</v>
      </c>
      <c r="C4" s="257" t="s">
        <v>152</v>
      </c>
      <c r="D4" s="258" t="s">
        <v>117</v>
      </c>
      <c r="E4" s="259">
        <v>95000</v>
      </c>
      <c r="F4" s="259">
        <v>166.60382487307419</v>
      </c>
      <c r="G4" s="260">
        <v>570.21500000000003</v>
      </c>
      <c r="H4" s="261" t="s">
        <v>157</v>
      </c>
      <c r="I4" s="261" t="s">
        <v>160</v>
      </c>
      <c r="J4" s="261" t="s">
        <v>98</v>
      </c>
      <c r="K4" s="262" t="s">
        <v>1901</v>
      </c>
      <c r="L4" s="261" t="s">
        <v>2085</v>
      </c>
      <c r="M4" s="257"/>
      <c r="N4" s="257"/>
      <c r="O4" s="257"/>
    </row>
    <row r="5" spans="1:15" hidden="1">
      <c r="A5" s="256">
        <v>45659</v>
      </c>
      <c r="B5" s="257" t="s">
        <v>161</v>
      </c>
      <c r="C5" s="257" t="s">
        <v>152</v>
      </c>
      <c r="D5" s="258" t="s">
        <v>442</v>
      </c>
      <c r="E5" s="259">
        <v>88000</v>
      </c>
      <c r="F5" s="259">
        <v>154.32775356663714</v>
      </c>
      <c r="G5" s="260">
        <v>570.21500000000003</v>
      </c>
      <c r="H5" s="261" t="s">
        <v>157</v>
      </c>
      <c r="I5" s="261" t="s">
        <v>162</v>
      </c>
      <c r="J5" s="261" t="s">
        <v>98</v>
      </c>
      <c r="K5" s="262" t="s">
        <v>1901</v>
      </c>
      <c r="L5" s="261" t="s">
        <v>2085</v>
      </c>
      <c r="M5" s="257"/>
      <c r="N5" s="257"/>
      <c r="O5" s="257"/>
    </row>
    <row r="6" spans="1:15" hidden="1">
      <c r="A6" s="256">
        <v>45659</v>
      </c>
      <c r="B6" s="257" t="s">
        <v>163</v>
      </c>
      <c r="C6" s="257" t="s">
        <v>152</v>
      </c>
      <c r="D6" s="257" t="s">
        <v>120</v>
      </c>
      <c r="E6" s="259">
        <v>10000</v>
      </c>
      <c r="F6" s="259">
        <v>17.537244723481493</v>
      </c>
      <c r="G6" s="260">
        <v>570.21500000000003</v>
      </c>
      <c r="H6" s="261" t="s">
        <v>157</v>
      </c>
      <c r="I6" s="261" t="s">
        <v>164</v>
      </c>
      <c r="J6" s="261" t="s">
        <v>98</v>
      </c>
      <c r="K6" s="262" t="s">
        <v>1901</v>
      </c>
      <c r="L6" s="261" t="s">
        <v>2085</v>
      </c>
      <c r="M6" s="257"/>
      <c r="N6" s="257"/>
      <c r="O6" s="257"/>
    </row>
    <row r="7" spans="1:15" hidden="1">
      <c r="A7" s="256">
        <v>45659</v>
      </c>
      <c r="B7" s="257" t="s">
        <v>165</v>
      </c>
      <c r="C7" s="257" t="s">
        <v>152</v>
      </c>
      <c r="D7" s="258" t="s">
        <v>117</v>
      </c>
      <c r="E7" s="259">
        <v>10000</v>
      </c>
      <c r="F7" s="259">
        <v>17.537244723481493</v>
      </c>
      <c r="G7" s="260">
        <v>570.21500000000003</v>
      </c>
      <c r="H7" s="261" t="s">
        <v>157</v>
      </c>
      <c r="I7" s="261" t="s">
        <v>166</v>
      </c>
      <c r="J7" s="261" t="s">
        <v>98</v>
      </c>
      <c r="K7" s="262" t="s">
        <v>1901</v>
      </c>
      <c r="L7" s="261" t="s">
        <v>2085</v>
      </c>
      <c r="M7" s="257"/>
      <c r="N7" s="257"/>
      <c r="O7" s="257"/>
    </row>
    <row r="8" spans="1:15" hidden="1">
      <c r="A8" s="256">
        <v>45659</v>
      </c>
      <c r="B8" s="257" t="s">
        <v>167</v>
      </c>
      <c r="C8" s="257" t="s">
        <v>152</v>
      </c>
      <c r="D8" s="258" t="s">
        <v>442</v>
      </c>
      <c r="E8" s="259">
        <v>16000</v>
      </c>
      <c r="F8" s="259">
        <v>28.059591557570389</v>
      </c>
      <c r="G8" s="260">
        <v>570.21500000000003</v>
      </c>
      <c r="H8" s="261" t="s">
        <v>157</v>
      </c>
      <c r="I8" s="261" t="s">
        <v>168</v>
      </c>
      <c r="J8" s="261" t="s">
        <v>98</v>
      </c>
      <c r="K8" s="262" t="s">
        <v>1901</v>
      </c>
      <c r="L8" s="261" t="s">
        <v>2085</v>
      </c>
      <c r="M8" s="257"/>
      <c r="N8" s="257"/>
      <c r="O8" s="257"/>
    </row>
    <row r="9" spans="1:15" hidden="1">
      <c r="A9" s="256">
        <v>45659</v>
      </c>
      <c r="B9" s="257" t="s">
        <v>169</v>
      </c>
      <c r="C9" s="257" t="s">
        <v>152</v>
      </c>
      <c r="D9" s="257" t="s">
        <v>120</v>
      </c>
      <c r="E9" s="259">
        <v>11000</v>
      </c>
      <c r="F9" s="259">
        <v>19.290969195829643</v>
      </c>
      <c r="G9" s="260">
        <v>570.21500000000003</v>
      </c>
      <c r="H9" s="261" t="s">
        <v>157</v>
      </c>
      <c r="I9" s="261" t="s">
        <v>170</v>
      </c>
      <c r="J9" s="261" t="s">
        <v>98</v>
      </c>
      <c r="K9" s="262" t="s">
        <v>1901</v>
      </c>
      <c r="L9" s="261" t="s">
        <v>2085</v>
      </c>
      <c r="M9" s="257"/>
      <c r="N9" s="257"/>
      <c r="O9" s="257"/>
    </row>
    <row r="10" spans="1:15" hidden="1">
      <c r="A10" s="256">
        <v>45660</v>
      </c>
      <c r="B10" s="257" t="s">
        <v>171</v>
      </c>
      <c r="C10" s="263" t="s">
        <v>1163</v>
      </c>
      <c r="D10" s="257" t="s">
        <v>118</v>
      </c>
      <c r="E10" s="259">
        <v>25000</v>
      </c>
      <c r="F10" s="259">
        <v>43.843111808703732</v>
      </c>
      <c r="G10" s="260">
        <v>570.21500000000003</v>
      </c>
      <c r="H10" s="261" t="s">
        <v>157</v>
      </c>
      <c r="I10" s="261" t="s">
        <v>173</v>
      </c>
      <c r="J10" s="261" t="s">
        <v>98</v>
      </c>
      <c r="K10" s="262" t="s">
        <v>1901</v>
      </c>
      <c r="L10" s="261" t="s">
        <v>2085</v>
      </c>
      <c r="M10" s="257"/>
      <c r="N10" s="257"/>
      <c r="O10" s="257"/>
    </row>
    <row r="11" spans="1:15" hidden="1">
      <c r="A11" s="256">
        <v>45663</v>
      </c>
      <c r="B11" s="257" t="s">
        <v>101</v>
      </c>
      <c r="C11" s="257" t="s">
        <v>123</v>
      </c>
      <c r="D11" s="258" t="s">
        <v>117</v>
      </c>
      <c r="E11" s="259">
        <v>300000</v>
      </c>
      <c r="F11" s="259">
        <v>526.11734170444481</v>
      </c>
      <c r="G11" s="260">
        <v>570.21500000000003</v>
      </c>
      <c r="H11" s="261" t="s">
        <v>148</v>
      </c>
      <c r="I11" s="261" t="s">
        <v>129</v>
      </c>
      <c r="J11" s="261" t="s">
        <v>98</v>
      </c>
      <c r="K11" s="262" t="s">
        <v>1901</v>
      </c>
      <c r="L11" s="261" t="s">
        <v>2085</v>
      </c>
      <c r="M11" s="257"/>
      <c r="N11" s="257"/>
      <c r="O11" s="257"/>
    </row>
    <row r="12" spans="1:15" hidden="1">
      <c r="A12" s="256">
        <v>45663</v>
      </c>
      <c r="B12" s="257" t="s">
        <v>102</v>
      </c>
      <c r="C12" s="257" t="s">
        <v>123</v>
      </c>
      <c r="D12" s="258" t="s">
        <v>117</v>
      </c>
      <c r="E12" s="259">
        <v>300000</v>
      </c>
      <c r="F12" s="259">
        <v>526.11734170444481</v>
      </c>
      <c r="G12" s="260">
        <v>570.21500000000003</v>
      </c>
      <c r="H12" s="261" t="s">
        <v>148</v>
      </c>
      <c r="I12" s="261" t="s">
        <v>130</v>
      </c>
      <c r="J12" s="261" t="s">
        <v>98</v>
      </c>
      <c r="K12" s="262" t="s">
        <v>1901</v>
      </c>
      <c r="L12" s="261" t="s">
        <v>2085</v>
      </c>
      <c r="M12" s="257"/>
      <c r="N12" s="257"/>
      <c r="O12" s="257"/>
    </row>
    <row r="13" spans="1:15" hidden="1">
      <c r="A13" s="256">
        <v>45663</v>
      </c>
      <c r="B13" s="257" t="s">
        <v>472</v>
      </c>
      <c r="C13" s="263" t="s">
        <v>126</v>
      </c>
      <c r="D13" s="257" t="s">
        <v>118</v>
      </c>
      <c r="E13" s="259">
        <v>500000</v>
      </c>
      <c r="F13" s="259">
        <v>838.65459674971032</v>
      </c>
      <c r="G13" s="260">
        <v>596.19299999999998</v>
      </c>
      <c r="H13" s="261" t="s">
        <v>148</v>
      </c>
      <c r="I13" s="261" t="s">
        <v>132</v>
      </c>
      <c r="J13" s="261" t="s">
        <v>98</v>
      </c>
      <c r="K13" s="262" t="s">
        <v>1901</v>
      </c>
      <c r="L13" s="261" t="s">
        <v>2085</v>
      </c>
      <c r="M13" s="257"/>
      <c r="N13" s="257"/>
      <c r="O13" s="257"/>
    </row>
    <row r="14" spans="1:15" hidden="1">
      <c r="A14" s="256">
        <v>45663</v>
      </c>
      <c r="B14" s="257" t="s">
        <v>475</v>
      </c>
      <c r="C14" s="263" t="s">
        <v>304</v>
      </c>
      <c r="D14" s="257" t="s">
        <v>118</v>
      </c>
      <c r="E14" s="259">
        <v>260000</v>
      </c>
      <c r="F14" s="259">
        <v>436.10039030984933</v>
      </c>
      <c r="G14" s="260">
        <v>596.19299999999998</v>
      </c>
      <c r="H14" s="261" t="s">
        <v>148</v>
      </c>
      <c r="I14" s="261" t="s">
        <v>142</v>
      </c>
      <c r="J14" s="261" t="s">
        <v>98</v>
      </c>
      <c r="K14" s="262" t="s">
        <v>1901</v>
      </c>
      <c r="L14" s="261" t="s">
        <v>2085</v>
      </c>
      <c r="M14" s="257"/>
      <c r="N14" s="257"/>
      <c r="O14" s="257"/>
    </row>
    <row r="15" spans="1:15" hidden="1">
      <c r="A15" s="256">
        <v>45663</v>
      </c>
      <c r="B15" s="257" t="s">
        <v>476</v>
      </c>
      <c r="C15" s="257" t="s">
        <v>123</v>
      </c>
      <c r="D15" s="258" t="s">
        <v>117</v>
      </c>
      <c r="E15" s="259">
        <v>150000</v>
      </c>
      <c r="F15" s="259">
        <v>251.59637902491309</v>
      </c>
      <c r="G15" s="260">
        <v>596.19299999999998</v>
      </c>
      <c r="H15" s="261" t="s">
        <v>148</v>
      </c>
      <c r="I15" s="261" t="s">
        <v>143</v>
      </c>
      <c r="J15" s="261" t="s">
        <v>98</v>
      </c>
      <c r="K15" s="262" t="s">
        <v>1901</v>
      </c>
      <c r="L15" s="261" t="s">
        <v>2085</v>
      </c>
      <c r="M15" s="257"/>
      <c r="N15" s="257"/>
      <c r="O15" s="257"/>
    </row>
    <row r="16" spans="1:15" hidden="1">
      <c r="A16" s="256">
        <v>45664</v>
      </c>
      <c r="B16" s="257" t="s">
        <v>3161</v>
      </c>
      <c r="C16" s="263" t="s">
        <v>174</v>
      </c>
      <c r="D16" s="258" t="s">
        <v>442</v>
      </c>
      <c r="E16" s="259">
        <v>7000</v>
      </c>
      <c r="F16" s="259">
        <v>12.276071306437045</v>
      </c>
      <c r="G16" s="260">
        <v>570.21500000000003</v>
      </c>
      <c r="H16" s="261" t="s">
        <v>175</v>
      </c>
      <c r="I16" s="261" t="s">
        <v>176</v>
      </c>
      <c r="J16" s="261" t="s">
        <v>98</v>
      </c>
      <c r="K16" s="262" t="s">
        <v>1901</v>
      </c>
      <c r="L16" s="261" t="s">
        <v>2085</v>
      </c>
      <c r="M16" s="257"/>
      <c r="N16" s="257"/>
      <c r="O16" s="257"/>
    </row>
    <row r="17" spans="1:15" hidden="1">
      <c r="A17" s="256">
        <v>45664</v>
      </c>
      <c r="B17" s="257" t="s">
        <v>3162</v>
      </c>
      <c r="C17" s="263" t="s">
        <v>177</v>
      </c>
      <c r="D17" s="258" t="s">
        <v>442</v>
      </c>
      <c r="E17" s="259">
        <v>100000</v>
      </c>
      <c r="F17" s="259">
        <v>175.37244723481493</v>
      </c>
      <c r="G17" s="260">
        <v>570.21500000000003</v>
      </c>
      <c r="H17" s="261" t="s">
        <v>175</v>
      </c>
      <c r="I17" s="261" t="s">
        <v>178</v>
      </c>
      <c r="J17" s="261" t="s">
        <v>98</v>
      </c>
      <c r="K17" s="262" t="s">
        <v>1901</v>
      </c>
      <c r="L17" s="261" t="s">
        <v>2085</v>
      </c>
      <c r="M17" s="257"/>
      <c r="N17" s="257"/>
      <c r="O17" s="257"/>
    </row>
    <row r="18" spans="1:15" hidden="1">
      <c r="A18" s="256">
        <v>45665</v>
      </c>
      <c r="B18" s="257" t="s">
        <v>179</v>
      </c>
      <c r="C18" s="263" t="s">
        <v>174</v>
      </c>
      <c r="D18" s="258" t="s">
        <v>119</v>
      </c>
      <c r="E18" s="259">
        <v>226000</v>
      </c>
      <c r="F18" s="259">
        <v>396.34173075068173</v>
      </c>
      <c r="G18" s="260">
        <v>570.21500000000003</v>
      </c>
      <c r="H18" s="261" t="s">
        <v>153</v>
      </c>
      <c r="I18" s="261" t="s">
        <v>180</v>
      </c>
      <c r="J18" s="261" t="s">
        <v>98</v>
      </c>
      <c r="K18" s="262" t="s">
        <v>1901</v>
      </c>
      <c r="L18" s="261" t="s">
        <v>2085</v>
      </c>
      <c r="M18" s="257"/>
      <c r="N18" s="257"/>
      <c r="O18" s="257"/>
    </row>
    <row r="19" spans="1:15" hidden="1">
      <c r="A19" s="256">
        <v>45665</v>
      </c>
      <c r="B19" s="257" t="s">
        <v>181</v>
      </c>
      <c r="C19" s="264" t="s">
        <v>2086</v>
      </c>
      <c r="D19" s="257" t="s">
        <v>118</v>
      </c>
      <c r="E19" s="259">
        <v>22640</v>
      </c>
      <c r="F19" s="259">
        <v>39.704322053962102</v>
      </c>
      <c r="G19" s="260">
        <v>570.21500000000003</v>
      </c>
      <c r="H19" s="261" t="s">
        <v>157</v>
      </c>
      <c r="I19" s="261" t="s">
        <v>183</v>
      </c>
      <c r="J19" s="261" t="s">
        <v>98</v>
      </c>
      <c r="K19" s="262" t="s">
        <v>1901</v>
      </c>
      <c r="L19" s="261" t="s">
        <v>2085</v>
      </c>
      <c r="M19" s="257"/>
      <c r="N19" s="257"/>
      <c r="O19" s="257"/>
    </row>
    <row r="20" spans="1:15" hidden="1">
      <c r="A20" s="256">
        <v>45665</v>
      </c>
      <c r="B20" s="257" t="s">
        <v>3029</v>
      </c>
      <c r="C20" s="263" t="s">
        <v>174</v>
      </c>
      <c r="D20" s="258" t="s">
        <v>442</v>
      </c>
      <c r="E20" s="259">
        <v>7000</v>
      </c>
      <c r="F20" s="259">
        <v>12.276071306437045</v>
      </c>
      <c r="G20" s="260">
        <v>570.21500000000003</v>
      </c>
      <c r="H20" s="261" t="s">
        <v>184</v>
      </c>
      <c r="I20" s="261" t="s">
        <v>185</v>
      </c>
      <c r="J20" s="261" t="s">
        <v>98</v>
      </c>
      <c r="K20" s="262" t="s">
        <v>1901</v>
      </c>
      <c r="L20" s="261" t="s">
        <v>2085</v>
      </c>
      <c r="M20" s="257"/>
      <c r="N20" s="257"/>
      <c r="O20" s="257"/>
    </row>
    <row r="21" spans="1:15" hidden="1">
      <c r="A21" s="256">
        <v>45665</v>
      </c>
      <c r="B21" s="257" t="s">
        <v>186</v>
      </c>
      <c r="C21" s="263" t="s">
        <v>174</v>
      </c>
      <c r="D21" s="258" t="s">
        <v>117</v>
      </c>
      <c r="E21" s="259">
        <v>7000</v>
      </c>
      <c r="F21" s="259">
        <v>12.276071306437045</v>
      </c>
      <c r="G21" s="260">
        <v>570.21500000000003</v>
      </c>
      <c r="H21" s="261" t="s">
        <v>187</v>
      </c>
      <c r="I21" s="261" t="s">
        <v>188</v>
      </c>
      <c r="J21" s="261" t="s">
        <v>98</v>
      </c>
      <c r="K21" s="262" t="s">
        <v>1901</v>
      </c>
      <c r="L21" s="261" t="s">
        <v>2085</v>
      </c>
      <c r="M21" s="257"/>
      <c r="N21" s="257"/>
      <c r="O21" s="257"/>
    </row>
    <row r="22" spans="1:15" hidden="1">
      <c r="A22" s="256">
        <v>45665</v>
      </c>
      <c r="B22" s="257" t="s">
        <v>189</v>
      </c>
      <c r="C22" s="263" t="s">
        <v>174</v>
      </c>
      <c r="D22" s="258" t="s">
        <v>117</v>
      </c>
      <c r="E22" s="259">
        <v>7000</v>
      </c>
      <c r="F22" s="259">
        <v>12.276071306437045</v>
      </c>
      <c r="G22" s="260">
        <v>570.21500000000003</v>
      </c>
      <c r="H22" s="261" t="s">
        <v>190</v>
      </c>
      <c r="I22" s="261" t="s">
        <v>191</v>
      </c>
      <c r="J22" s="261" t="s">
        <v>98</v>
      </c>
      <c r="K22" s="262" t="s">
        <v>1901</v>
      </c>
      <c r="L22" s="261" t="s">
        <v>2085</v>
      </c>
      <c r="M22" s="257"/>
      <c r="N22" s="257"/>
      <c r="O22" s="257"/>
    </row>
    <row r="23" spans="1:15" hidden="1">
      <c r="A23" s="256">
        <v>45665</v>
      </c>
      <c r="B23" s="257" t="s">
        <v>192</v>
      </c>
      <c r="C23" s="264" t="s">
        <v>2086</v>
      </c>
      <c r="D23" s="257" t="s">
        <v>118</v>
      </c>
      <c r="E23" s="259">
        <v>1860</v>
      </c>
      <c r="F23" s="259">
        <v>3.2619275185675578</v>
      </c>
      <c r="G23" s="260">
        <v>570.21500000000003</v>
      </c>
      <c r="H23" s="261" t="s">
        <v>193</v>
      </c>
      <c r="I23" s="261" t="s">
        <v>194</v>
      </c>
      <c r="J23" s="261" t="s">
        <v>98</v>
      </c>
      <c r="K23" s="262" t="s">
        <v>1901</v>
      </c>
      <c r="L23" s="261" t="s">
        <v>2085</v>
      </c>
      <c r="M23" s="257"/>
      <c r="N23" s="257"/>
      <c r="O23" s="257"/>
    </row>
    <row r="24" spans="1:15" hidden="1">
      <c r="A24" s="256">
        <v>45665</v>
      </c>
      <c r="B24" s="257" t="s">
        <v>195</v>
      </c>
      <c r="C24" s="263" t="s">
        <v>174</v>
      </c>
      <c r="D24" s="258" t="s">
        <v>117</v>
      </c>
      <c r="E24" s="259">
        <v>7000</v>
      </c>
      <c r="F24" s="259">
        <v>12.276071306437045</v>
      </c>
      <c r="G24" s="260">
        <v>570.21500000000003</v>
      </c>
      <c r="H24" s="261" t="s">
        <v>197</v>
      </c>
      <c r="I24" s="261" t="s">
        <v>198</v>
      </c>
      <c r="J24" s="261" t="s">
        <v>98</v>
      </c>
      <c r="K24" s="262" t="s">
        <v>1901</v>
      </c>
      <c r="L24" s="261" t="s">
        <v>2085</v>
      </c>
      <c r="M24" s="257"/>
      <c r="N24" s="257"/>
      <c r="O24" s="257"/>
    </row>
    <row r="25" spans="1:15" hidden="1">
      <c r="A25" s="256">
        <v>45666</v>
      </c>
      <c r="B25" s="257" t="s">
        <v>199</v>
      </c>
      <c r="C25" s="263" t="s">
        <v>174</v>
      </c>
      <c r="D25" s="257" t="s">
        <v>2087</v>
      </c>
      <c r="E25" s="259">
        <v>7000</v>
      </c>
      <c r="F25" s="259">
        <v>12.276071306437045</v>
      </c>
      <c r="G25" s="260">
        <v>570.21500000000003</v>
      </c>
      <c r="H25" s="261" t="s">
        <v>200</v>
      </c>
      <c r="I25" s="261" t="s">
        <v>201</v>
      </c>
      <c r="J25" s="261" t="s">
        <v>98</v>
      </c>
      <c r="K25" s="262" t="s">
        <v>1901</v>
      </c>
      <c r="L25" s="261" t="s">
        <v>2085</v>
      </c>
      <c r="M25" s="257"/>
      <c r="N25" s="257"/>
      <c r="O25" s="257"/>
    </row>
    <row r="26" spans="1:15" hidden="1">
      <c r="A26" s="256">
        <v>45666</v>
      </c>
      <c r="B26" s="257" t="s">
        <v>3163</v>
      </c>
      <c r="C26" s="263" t="s">
        <v>177</v>
      </c>
      <c r="D26" s="258" t="s">
        <v>442</v>
      </c>
      <c r="E26" s="259">
        <v>80000</v>
      </c>
      <c r="F26" s="259">
        <v>140.29795778785194</v>
      </c>
      <c r="G26" s="260">
        <v>570.21500000000003</v>
      </c>
      <c r="H26" s="261" t="s">
        <v>184</v>
      </c>
      <c r="I26" s="261" t="s">
        <v>203</v>
      </c>
      <c r="J26" s="261" t="s">
        <v>98</v>
      </c>
      <c r="K26" s="262" t="s">
        <v>1901</v>
      </c>
      <c r="L26" s="261" t="s">
        <v>2085</v>
      </c>
      <c r="M26" s="257"/>
      <c r="N26" s="257"/>
      <c r="O26" s="257"/>
    </row>
    <row r="27" spans="1:15" hidden="1">
      <c r="A27" s="256">
        <v>45666</v>
      </c>
      <c r="B27" s="257" t="s">
        <v>204</v>
      </c>
      <c r="C27" s="263" t="s">
        <v>177</v>
      </c>
      <c r="D27" s="258" t="s">
        <v>117</v>
      </c>
      <c r="E27" s="259">
        <v>160000</v>
      </c>
      <c r="F27" s="259">
        <v>280.59591557570388</v>
      </c>
      <c r="G27" s="260">
        <v>570.21500000000003</v>
      </c>
      <c r="H27" s="261" t="s">
        <v>187</v>
      </c>
      <c r="I27" s="261" t="s">
        <v>205</v>
      </c>
      <c r="J27" s="261" t="s">
        <v>98</v>
      </c>
      <c r="K27" s="262" t="s">
        <v>1901</v>
      </c>
      <c r="L27" s="261" t="s">
        <v>2085</v>
      </c>
      <c r="M27" s="257"/>
      <c r="N27" s="257"/>
      <c r="O27" s="257"/>
    </row>
    <row r="28" spans="1:15" hidden="1">
      <c r="A28" s="256">
        <v>45666</v>
      </c>
      <c r="B28" s="257" t="s">
        <v>206</v>
      </c>
      <c r="C28" s="263" t="s">
        <v>177</v>
      </c>
      <c r="D28" s="258" t="s">
        <v>117</v>
      </c>
      <c r="E28" s="259">
        <v>80000</v>
      </c>
      <c r="F28" s="259">
        <v>140.29795778785194</v>
      </c>
      <c r="G28" s="260">
        <v>570.21500000000003</v>
      </c>
      <c r="H28" s="261" t="s">
        <v>190</v>
      </c>
      <c r="I28" s="261" t="s">
        <v>207</v>
      </c>
      <c r="J28" s="261" t="s">
        <v>98</v>
      </c>
      <c r="K28" s="262" t="s">
        <v>1901</v>
      </c>
      <c r="L28" s="261" t="s">
        <v>2085</v>
      </c>
      <c r="M28" s="257"/>
      <c r="N28" s="257"/>
      <c r="O28" s="257"/>
    </row>
    <row r="29" spans="1:15" hidden="1">
      <c r="A29" s="256">
        <v>45666</v>
      </c>
      <c r="B29" s="257" t="s">
        <v>208</v>
      </c>
      <c r="C29" s="264" t="s">
        <v>2086</v>
      </c>
      <c r="D29" s="257" t="s">
        <v>118</v>
      </c>
      <c r="E29" s="259">
        <v>32070</v>
      </c>
      <c r="F29" s="259">
        <v>56.241943828205144</v>
      </c>
      <c r="G29" s="260">
        <v>570.21500000000003</v>
      </c>
      <c r="H29" s="261" t="s">
        <v>193</v>
      </c>
      <c r="I29" s="261" t="s">
        <v>209</v>
      </c>
      <c r="J29" s="261" t="s">
        <v>98</v>
      </c>
      <c r="K29" s="262" t="s">
        <v>1901</v>
      </c>
      <c r="L29" s="261" t="s">
        <v>2085</v>
      </c>
      <c r="M29" s="257"/>
      <c r="N29" s="257"/>
      <c r="O29" s="257"/>
    </row>
    <row r="30" spans="1:15" hidden="1">
      <c r="A30" s="256">
        <v>45666</v>
      </c>
      <c r="B30" s="257" t="s">
        <v>210</v>
      </c>
      <c r="C30" s="263" t="s">
        <v>177</v>
      </c>
      <c r="D30" s="258" t="s">
        <v>117</v>
      </c>
      <c r="E30" s="259">
        <v>100000</v>
      </c>
      <c r="F30" s="259">
        <v>175.37244723481493</v>
      </c>
      <c r="G30" s="260">
        <v>570.21500000000003</v>
      </c>
      <c r="H30" s="261" t="s">
        <v>197</v>
      </c>
      <c r="I30" s="261" t="s">
        <v>211</v>
      </c>
      <c r="J30" s="261" t="s">
        <v>98</v>
      </c>
      <c r="K30" s="262" t="s">
        <v>1901</v>
      </c>
      <c r="L30" s="261" t="s">
        <v>2085</v>
      </c>
      <c r="M30" s="257"/>
      <c r="N30" s="257"/>
      <c r="O30" s="257"/>
    </row>
    <row r="31" spans="1:15" hidden="1">
      <c r="A31" s="256">
        <v>45666</v>
      </c>
      <c r="B31" s="257" t="s">
        <v>212</v>
      </c>
      <c r="C31" s="263" t="s">
        <v>174</v>
      </c>
      <c r="D31" s="257" t="s">
        <v>120</v>
      </c>
      <c r="E31" s="259">
        <v>7000</v>
      </c>
      <c r="F31" s="259">
        <v>12.276071306437045</v>
      </c>
      <c r="G31" s="260">
        <v>570.21500000000003</v>
      </c>
      <c r="H31" s="261" t="s">
        <v>213</v>
      </c>
      <c r="I31" s="261" t="s">
        <v>214</v>
      </c>
      <c r="J31" s="261" t="s">
        <v>98</v>
      </c>
      <c r="K31" s="262" t="s">
        <v>1901</v>
      </c>
      <c r="L31" s="261" t="s">
        <v>2085</v>
      </c>
      <c r="M31" s="257"/>
      <c r="N31" s="257"/>
      <c r="O31" s="257"/>
    </row>
    <row r="32" spans="1:15" hidden="1">
      <c r="A32" s="256">
        <v>45667</v>
      </c>
      <c r="B32" s="257" t="s">
        <v>215</v>
      </c>
      <c r="C32" s="263" t="s">
        <v>177</v>
      </c>
      <c r="D32" s="258" t="s">
        <v>117</v>
      </c>
      <c r="E32" s="259">
        <v>150000</v>
      </c>
      <c r="F32" s="259">
        <v>263.05867085222241</v>
      </c>
      <c r="G32" s="260">
        <v>570.21500000000003</v>
      </c>
      <c r="H32" s="261" t="s">
        <v>200</v>
      </c>
      <c r="I32" s="261" t="s">
        <v>216</v>
      </c>
      <c r="J32" s="261" t="s">
        <v>98</v>
      </c>
      <c r="K32" s="262" t="s">
        <v>1901</v>
      </c>
      <c r="L32" s="261" t="s">
        <v>2085</v>
      </c>
      <c r="M32" s="257"/>
      <c r="N32" s="257"/>
      <c r="O32" s="257"/>
    </row>
    <row r="33" spans="1:15" hidden="1">
      <c r="A33" s="256">
        <v>45667</v>
      </c>
      <c r="B33" s="257" t="s">
        <v>218</v>
      </c>
      <c r="C33" s="263" t="s">
        <v>126</v>
      </c>
      <c r="D33" s="257" t="s">
        <v>118</v>
      </c>
      <c r="E33" s="259">
        <v>59466</v>
      </c>
      <c r="F33" s="259">
        <v>104.28697947265505</v>
      </c>
      <c r="G33" s="260">
        <v>570.21500000000003</v>
      </c>
      <c r="H33" s="261" t="s">
        <v>193</v>
      </c>
      <c r="I33" s="261" t="s">
        <v>219</v>
      </c>
      <c r="J33" s="261" t="s">
        <v>98</v>
      </c>
      <c r="K33" s="262" t="s">
        <v>1901</v>
      </c>
      <c r="L33" s="261" t="s">
        <v>2085</v>
      </c>
      <c r="M33" s="257"/>
      <c r="N33" s="257"/>
      <c r="O33" s="257"/>
    </row>
    <row r="34" spans="1:15" hidden="1">
      <c r="A34" s="256">
        <v>45667</v>
      </c>
      <c r="B34" s="257" t="s">
        <v>220</v>
      </c>
      <c r="C34" s="263" t="s">
        <v>177</v>
      </c>
      <c r="D34" s="257" t="s">
        <v>120</v>
      </c>
      <c r="E34" s="259">
        <v>70000</v>
      </c>
      <c r="F34" s="259">
        <v>122.76071306437045</v>
      </c>
      <c r="G34" s="260">
        <v>570.21500000000003</v>
      </c>
      <c r="H34" s="261" t="s">
        <v>213</v>
      </c>
      <c r="I34" s="261" t="s">
        <v>221</v>
      </c>
      <c r="J34" s="261" t="s">
        <v>98</v>
      </c>
      <c r="K34" s="262" t="s">
        <v>1901</v>
      </c>
      <c r="L34" s="261" t="s">
        <v>2085</v>
      </c>
      <c r="M34" s="257"/>
      <c r="N34" s="257"/>
      <c r="O34" s="257"/>
    </row>
    <row r="35" spans="1:15" hidden="1">
      <c r="A35" s="256">
        <v>45670</v>
      </c>
      <c r="B35" s="257" t="s">
        <v>222</v>
      </c>
      <c r="C35" s="263" t="s">
        <v>177</v>
      </c>
      <c r="D35" s="257" t="s">
        <v>2087</v>
      </c>
      <c r="E35" s="259">
        <v>45000</v>
      </c>
      <c r="F35" s="259">
        <v>78.917601255666725</v>
      </c>
      <c r="G35" s="260">
        <v>570.21500000000003</v>
      </c>
      <c r="H35" s="261" t="s">
        <v>200</v>
      </c>
      <c r="I35" s="261" t="s">
        <v>223</v>
      </c>
      <c r="J35" s="261" t="s">
        <v>98</v>
      </c>
      <c r="K35" s="262" t="s">
        <v>1901</v>
      </c>
      <c r="L35" s="261" t="s">
        <v>2085</v>
      </c>
      <c r="M35" s="257"/>
      <c r="N35" s="257"/>
      <c r="O35" s="257"/>
    </row>
    <row r="36" spans="1:15" hidden="1">
      <c r="A36" s="256">
        <v>45670</v>
      </c>
      <c r="B36" s="257" t="s">
        <v>3164</v>
      </c>
      <c r="C36" s="263" t="s">
        <v>177</v>
      </c>
      <c r="D36" s="258" t="s">
        <v>442</v>
      </c>
      <c r="E36" s="259">
        <v>60000</v>
      </c>
      <c r="F36" s="259">
        <v>105.22346834088896</v>
      </c>
      <c r="G36" s="260">
        <v>570.21500000000003</v>
      </c>
      <c r="H36" s="261" t="s">
        <v>184</v>
      </c>
      <c r="I36" s="261" t="s">
        <v>224</v>
      </c>
      <c r="J36" s="261" t="s">
        <v>98</v>
      </c>
      <c r="K36" s="262" t="s">
        <v>1901</v>
      </c>
      <c r="L36" s="261" t="s">
        <v>2085</v>
      </c>
      <c r="M36" s="257"/>
      <c r="N36" s="257"/>
      <c r="O36" s="257"/>
    </row>
    <row r="37" spans="1:15" hidden="1">
      <c r="A37" s="256">
        <v>45670</v>
      </c>
      <c r="B37" s="257" t="s">
        <v>192</v>
      </c>
      <c r="C37" s="264" t="s">
        <v>2086</v>
      </c>
      <c r="D37" s="257" t="s">
        <v>118</v>
      </c>
      <c r="E37" s="259">
        <v>1000</v>
      </c>
      <c r="F37" s="259">
        <v>1.7537244723481493</v>
      </c>
      <c r="G37" s="260">
        <v>570.21500000000003</v>
      </c>
      <c r="H37" s="261" t="s">
        <v>193</v>
      </c>
      <c r="I37" s="261" t="s">
        <v>225</v>
      </c>
      <c r="J37" s="261" t="s">
        <v>98</v>
      </c>
      <c r="K37" s="262" t="s">
        <v>1901</v>
      </c>
      <c r="L37" s="261" t="s">
        <v>2085</v>
      </c>
      <c r="M37" s="257"/>
      <c r="N37" s="257"/>
      <c r="O37" s="257"/>
    </row>
    <row r="38" spans="1:15" hidden="1">
      <c r="A38" s="256">
        <v>45671</v>
      </c>
      <c r="B38" s="257" t="s">
        <v>470</v>
      </c>
      <c r="C38" s="263" t="s">
        <v>177</v>
      </c>
      <c r="D38" s="258" t="s">
        <v>119</v>
      </c>
      <c r="E38" s="259">
        <v>245000</v>
      </c>
      <c r="F38" s="259">
        <v>429.66249572529659</v>
      </c>
      <c r="G38" s="260">
        <v>570.21500000000003</v>
      </c>
      <c r="H38" s="261" t="s">
        <v>190</v>
      </c>
      <c r="I38" s="261" t="s">
        <v>217</v>
      </c>
      <c r="J38" s="261" t="s">
        <v>98</v>
      </c>
      <c r="K38" s="262" t="s">
        <v>1901</v>
      </c>
      <c r="L38" s="261" t="s">
        <v>2085</v>
      </c>
      <c r="M38" s="257"/>
      <c r="N38" s="257"/>
      <c r="O38" s="257"/>
    </row>
    <row r="39" spans="1:15" hidden="1">
      <c r="A39" s="256">
        <v>45671</v>
      </c>
      <c r="B39" s="257" t="s">
        <v>226</v>
      </c>
      <c r="C39" s="264" t="s">
        <v>2086</v>
      </c>
      <c r="D39" s="257" t="s">
        <v>118</v>
      </c>
      <c r="E39" s="259">
        <v>8100</v>
      </c>
      <c r="F39" s="259">
        <v>14.205168226020009</v>
      </c>
      <c r="G39" s="260">
        <v>570.21500000000003</v>
      </c>
      <c r="H39" s="261" t="s">
        <v>193</v>
      </c>
      <c r="I39" s="261" t="s">
        <v>227</v>
      </c>
      <c r="J39" s="261" t="s">
        <v>98</v>
      </c>
      <c r="K39" s="262" t="s">
        <v>1901</v>
      </c>
      <c r="L39" s="261" t="s">
        <v>2085</v>
      </c>
      <c r="M39" s="257"/>
      <c r="N39" s="257"/>
      <c r="O39" s="257"/>
    </row>
    <row r="40" spans="1:15" hidden="1">
      <c r="A40" s="256">
        <v>45672</v>
      </c>
      <c r="B40" s="257" t="s">
        <v>228</v>
      </c>
      <c r="C40" s="263" t="s">
        <v>177</v>
      </c>
      <c r="D40" s="257" t="s">
        <v>2087</v>
      </c>
      <c r="E40" s="259">
        <v>9750</v>
      </c>
      <c r="F40" s="259">
        <v>17.098813605394454</v>
      </c>
      <c r="G40" s="260">
        <v>570.21500000000003</v>
      </c>
      <c r="H40" s="261" t="s">
        <v>200</v>
      </c>
      <c r="I40" s="261" t="s">
        <v>229</v>
      </c>
      <c r="J40" s="261" t="s">
        <v>98</v>
      </c>
      <c r="K40" s="262" t="s">
        <v>1901</v>
      </c>
      <c r="L40" s="261" t="s">
        <v>2085</v>
      </c>
      <c r="M40" s="257"/>
      <c r="N40" s="257"/>
      <c r="O40" s="257"/>
    </row>
    <row r="41" spans="1:15" hidden="1">
      <c r="A41" s="256">
        <v>45672</v>
      </c>
      <c r="B41" s="257" t="s">
        <v>230</v>
      </c>
      <c r="C41" s="257" t="s">
        <v>152</v>
      </c>
      <c r="D41" s="258" t="s">
        <v>119</v>
      </c>
      <c r="E41" s="259">
        <v>31000</v>
      </c>
      <c r="F41" s="259">
        <v>54.365458642792625</v>
      </c>
      <c r="G41" s="260">
        <v>570.21500000000003</v>
      </c>
      <c r="H41" s="261" t="s">
        <v>157</v>
      </c>
      <c r="I41" s="261" t="s">
        <v>231</v>
      </c>
      <c r="J41" s="261" t="s">
        <v>98</v>
      </c>
      <c r="K41" s="262" t="s">
        <v>1901</v>
      </c>
      <c r="L41" s="261" t="s">
        <v>2085</v>
      </c>
      <c r="M41" s="257"/>
      <c r="N41" s="257"/>
      <c r="O41" s="257"/>
    </row>
    <row r="42" spans="1:15" hidden="1">
      <c r="A42" s="256">
        <v>45672</v>
      </c>
      <c r="B42" s="257" t="s">
        <v>232</v>
      </c>
      <c r="C42" s="257" t="s">
        <v>152</v>
      </c>
      <c r="D42" s="258" t="s">
        <v>117</v>
      </c>
      <c r="E42" s="259">
        <v>35000</v>
      </c>
      <c r="F42" s="259">
        <v>61.380356532185225</v>
      </c>
      <c r="G42" s="260">
        <v>570.21500000000003</v>
      </c>
      <c r="H42" s="261" t="s">
        <v>157</v>
      </c>
      <c r="I42" s="261" t="s">
        <v>233</v>
      </c>
      <c r="J42" s="261" t="s">
        <v>98</v>
      </c>
      <c r="K42" s="262" t="s">
        <v>1901</v>
      </c>
      <c r="L42" s="261" t="s">
        <v>2085</v>
      </c>
      <c r="M42" s="257"/>
      <c r="N42" s="257"/>
      <c r="O42" s="257"/>
    </row>
    <row r="43" spans="1:15" hidden="1">
      <c r="A43" s="256">
        <v>45672</v>
      </c>
      <c r="B43" s="257" t="s">
        <v>234</v>
      </c>
      <c r="C43" s="257" t="s">
        <v>152</v>
      </c>
      <c r="D43" s="258" t="s">
        <v>442</v>
      </c>
      <c r="E43" s="259">
        <v>50000</v>
      </c>
      <c r="F43" s="259">
        <v>87.686223617407464</v>
      </c>
      <c r="G43" s="260">
        <v>570.21500000000003</v>
      </c>
      <c r="H43" s="261" t="s">
        <v>157</v>
      </c>
      <c r="I43" s="261" t="s">
        <v>235</v>
      </c>
      <c r="J43" s="261" t="s">
        <v>98</v>
      </c>
      <c r="K43" s="262" t="s">
        <v>1901</v>
      </c>
      <c r="L43" s="261" t="s">
        <v>2085</v>
      </c>
      <c r="M43" s="257"/>
      <c r="N43" s="257"/>
      <c r="O43" s="257"/>
    </row>
    <row r="44" spans="1:15" hidden="1">
      <c r="A44" s="256">
        <v>45672</v>
      </c>
      <c r="B44" s="257" t="s">
        <v>236</v>
      </c>
      <c r="C44" s="257" t="s">
        <v>152</v>
      </c>
      <c r="D44" s="257" t="s">
        <v>120</v>
      </c>
      <c r="E44" s="259">
        <v>10000</v>
      </c>
      <c r="F44" s="259">
        <v>17.537244723481493</v>
      </c>
      <c r="G44" s="260">
        <v>570.21500000000003</v>
      </c>
      <c r="H44" s="261" t="s">
        <v>157</v>
      </c>
      <c r="I44" s="261" t="s">
        <v>237</v>
      </c>
      <c r="J44" s="261" t="s">
        <v>98</v>
      </c>
      <c r="K44" s="262" t="s">
        <v>1901</v>
      </c>
      <c r="L44" s="261" t="s">
        <v>2085</v>
      </c>
      <c r="M44" s="257"/>
      <c r="N44" s="257"/>
      <c r="O44" s="257"/>
    </row>
    <row r="45" spans="1:15" hidden="1">
      <c r="A45" s="256">
        <v>45672</v>
      </c>
      <c r="B45" s="257" t="s">
        <v>238</v>
      </c>
      <c r="C45" s="257" t="s">
        <v>152</v>
      </c>
      <c r="D45" s="258" t="s">
        <v>117</v>
      </c>
      <c r="E45" s="259">
        <v>10000</v>
      </c>
      <c r="F45" s="259">
        <v>17.537244723481493</v>
      </c>
      <c r="G45" s="260">
        <v>570.21500000000003</v>
      </c>
      <c r="H45" s="261" t="s">
        <v>157</v>
      </c>
      <c r="I45" s="261" t="s">
        <v>239</v>
      </c>
      <c r="J45" s="261" t="s">
        <v>98</v>
      </c>
      <c r="K45" s="262" t="s">
        <v>1901</v>
      </c>
      <c r="L45" s="261" t="s">
        <v>2085</v>
      </c>
      <c r="M45" s="257"/>
      <c r="N45" s="257"/>
      <c r="O45" s="257"/>
    </row>
    <row r="46" spans="1:15" hidden="1">
      <c r="A46" s="256">
        <v>45672</v>
      </c>
      <c r="B46" s="257" t="s">
        <v>240</v>
      </c>
      <c r="C46" s="257" t="s">
        <v>152</v>
      </c>
      <c r="D46" s="258" t="s">
        <v>442</v>
      </c>
      <c r="E46" s="259">
        <v>5000</v>
      </c>
      <c r="F46" s="259">
        <v>8.7686223617407464</v>
      </c>
      <c r="G46" s="260">
        <v>570.21500000000003</v>
      </c>
      <c r="H46" s="261" t="s">
        <v>157</v>
      </c>
      <c r="I46" s="261" t="s">
        <v>241</v>
      </c>
      <c r="J46" s="261" t="s">
        <v>98</v>
      </c>
      <c r="K46" s="262" t="s">
        <v>1901</v>
      </c>
      <c r="L46" s="261" t="s">
        <v>2085</v>
      </c>
      <c r="M46" s="257"/>
      <c r="N46" s="257"/>
      <c r="O46" s="257"/>
    </row>
    <row r="47" spans="1:15" hidden="1">
      <c r="A47" s="256">
        <v>45672</v>
      </c>
      <c r="B47" s="257" t="s">
        <v>3157</v>
      </c>
      <c r="C47" s="263" t="s">
        <v>174</v>
      </c>
      <c r="D47" s="258" t="s">
        <v>442</v>
      </c>
      <c r="E47" s="259">
        <v>50000</v>
      </c>
      <c r="F47" s="259">
        <v>87.686223617407464</v>
      </c>
      <c r="G47" s="260">
        <v>570.21500000000003</v>
      </c>
      <c r="H47" s="261" t="s">
        <v>184</v>
      </c>
      <c r="I47" s="261" t="s">
        <v>242</v>
      </c>
      <c r="J47" s="261" t="s">
        <v>98</v>
      </c>
      <c r="K47" s="262" t="s">
        <v>1901</v>
      </c>
      <c r="L47" s="261" t="s">
        <v>2085</v>
      </c>
      <c r="M47" s="257"/>
      <c r="N47" s="257"/>
      <c r="O47" s="257"/>
    </row>
    <row r="48" spans="1:15" hidden="1">
      <c r="A48" s="256">
        <v>45672</v>
      </c>
      <c r="B48" s="257" t="s">
        <v>3165</v>
      </c>
      <c r="C48" s="263" t="s">
        <v>177</v>
      </c>
      <c r="D48" s="258" t="s">
        <v>442</v>
      </c>
      <c r="E48" s="259">
        <v>120000</v>
      </c>
      <c r="F48" s="259">
        <v>210.44693668177791</v>
      </c>
      <c r="G48" s="260">
        <v>570.21500000000003</v>
      </c>
      <c r="H48" s="261" t="s">
        <v>175</v>
      </c>
      <c r="I48" s="261" t="s">
        <v>243</v>
      </c>
      <c r="J48" s="261" t="s">
        <v>98</v>
      </c>
      <c r="K48" s="262" t="s">
        <v>1901</v>
      </c>
      <c r="L48" s="261" t="s">
        <v>2085</v>
      </c>
      <c r="M48" s="257"/>
      <c r="N48" s="257"/>
      <c r="O48" s="257"/>
    </row>
    <row r="49" spans="1:15" hidden="1">
      <c r="A49" s="256">
        <v>45672</v>
      </c>
      <c r="B49" s="257" t="s">
        <v>244</v>
      </c>
      <c r="C49" s="263" t="s">
        <v>174</v>
      </c>
      <c r="D49" s="257" t="s">
        <v>2087</v>
      </c>
      <c r="E49" s="259">
        <v>8500</v>
      </c>
      <c r="F49" s="259">
        <v>14.90665801495927</v>
      </c>
      <c r="G49" s="260">
        <v>570.21500000000003</v>
      </c>
      <c r="H49" s="261" t="s">
        <v>187</v>
      </c>
      <c r="I49" s="261" t="s">
        <v>245</v>
      </c>
      <c r="J49" s="261" t="s">
        <v>98</v>
      </c>
      <c r="K49" s="262" t="s">
        <v>1901</v>
      </c>
      <c r="L49" s="261" t="s">
        <v>2085</v>
      </c>
      <c r="M49" s="257"/>
      <c r="N49" s="257"/>
      <c r="O49" s="257"/>
    </row>
    <row r="50" spans="1:15" hidden="1">
      <c r="A50" s="256">
        <v>45672</v>
      </c>
      <c r="B50" s="257" t="s">
        <v>244</v>
      </c>
      <c r="C50" s="263" t="s">
        <v>174</v>
      </c>
      <c r="D50" s="257" t="s">
        <v>2087</v>
      </c>
      <c r="E50" s="259">
        <v>8500</v>
      </c>
      <c r="F50" s="259">
        <v>14.90665801495927</v>
      </c>
      <c r="G50" s="260">
        <v>570.21500000000003</v>
      </c>
      <c r="H50" s="261" t="s">
        <v>187</v>
      </c>
      <c r="I50" s="261" t="s">
        <v>246</v>
      </c>
      <c r="J50" s="261" t="s">
        <v>98</v>
      </c>
      <c r="K50" s="262" t="s">
        <v>1901</v>
      </c>
      <c r="L50" s="261" t="s">
        <v>2085</v>
      </c>
      <c r="M50" s="257"/>
      <c r="N50" s="257"/>
      <c r="O50" s="257"/>
    </row>
    <row r="51" spans="1:15" hidden="1">
      <c r="A51" s="256">
        <v>45672</v>
      </c>
      <c r="B51" s="257" t="s">
        <v>247</v>
      </c>
      <c r="C51" s="263" t="s">
        <v>177</v>
      </c>
      <c r="D51" s="257" t="s">
        <v>2087</v>
      </c>
      <c r="E51" s="259">
        <v>10100</v>
      </c>
      <c r="F51" s="259">
        <v>17.712617170716307</v>
      </c>
      <c r="G51" s="260">
        <v>570.21500000000003</v>
      </c>
      <c r="H51" s="261" t="s">
        <v>187</v>
      </c>
      <c r="I51" s="261" t="s">
        <v>248</v>
      </c>
      <c r="J51" s="261" t="s">
        <v>98</v>
      </c>
      <c r="K51" s="262" t="s">
        <v>1901</v>
      </c>
      <c r="L51" s="261" t="s">
        <v>2085</v>
      </c>
      <c r="M51" s="257"/>
      <c r="N51" s="257"/>
      <c r="O51" s="257"/>
    </row>
    <row r="52" spans="1:15" hidden="1">
      <c r="A52" s="256">
        <v>45672</v>
      </c>
      <c r="B52" s="257" t="s">
        <v>249</v>
      </c>
      <c r="C52" s="263" t="s">
        <v>177</v>
      </c>
      <c r="D52" s="258" t="s">
        <v>117</v>
      </c>
      <c r="E52" s="259">
        <v>90000</v>
      </c>
      <c r="F52" s="259">
        <v>157.83520251133345</v>
      </c>
      <c r="G52" s="260">
        <v>570.21500000000003</v>
      </c>
      <c r="H52" s="261" t="s">
        <v>190</v>
      </c>
      <c r="I52" s="261" t="s">
        <v>250</v>
      </c>
      <c r="J52" s="261" t="s">
        <v>98</v>
      </c>
      <c r="K52" s="262" t="s">
        <v>1901</v>
      </c>
      <c r="L52" s="261" t="s">
        <v>2085</v>
      </c>
      <c r="M52" s="257"/>
      <c r="N52" s="257"/>
      <c r="O52" s="257"/>
    </row>
    <row r="53" spans="1:15" hidden="1">
      <c r="A53" s="256">
        <v>45672</v>
      </c>
      <c r="B53" s="257" t="s">
        <v>251</v>
      </c>
      <c r="C53" s="263" t="s">
        <v>177</v>
      </c>
      <c r="D53" s="257" t="s">
        <v>2087</v>
      </c>
      <c r="E53" s="259">
        <v>9600</v>
      </c>
      <c r="F53" s="259">
        <v>16.835754934542233</v>
      </c>
      <c r="G53" s="260">
        <v>570.21500000000003</v>
      </c>
      <c r="H53" s="261" t="s">
        <v>190</v>
      </c>
      <c r="I53" s="261" t="s">
        <v>252</v>
      </c>
      <c r="J53" s="261" t="s">
        <v>98</v>
      </c>
      <c r="K53" s="262" t="s">
        <v>1901</v>
      </c>
      <c r="L53" s="261" t="s">
        <v>2085</v>
      </c>
      <c r="M53" s="257"/>
      <c r="N53" s="257"/>
      <c r="O53" s="257"/>
    </row>
    <row r="54" spans="1:15" hidden="1">
      <c r="A54" s="256">
        <v>45672</v>
      </c>
      <c r="B54" s="257" t="s">
        <v>253</v>
      </c>
      <c r="C54" s="263" t="s">
        <v>174</v>
      </c>
      <c r="D54" s="258" t="s">
        <v>117</v>
      </c>
      <c r="E54" s="259">
        <v>8000</v>
      </c>
      <c r="F54" s="259">
        <v>14.029795778785195</v>
      </c>
      <c r="G54" s="260">
        <v>570.21500000000003</v>
      </c>
      <c r="H54" s="261" t="s">
        <v>193</v>
      </c>
      <c r="I54" s="261" t="s">
        <v>254</v>
      </c>
      <c r="J54" s="261" t="s">
        <v>98</v>
      </c>
      <c r="K54" s="262" t="s">
        <v>1901</v>
      </c>
      <c r="L54" s="261" t="s">
        <v>2085</v>
      </c>
      <c r="M54" s="257"/>
      <c r="N54" s="257"/>
      <c r="O54" s="257"/>
    </row>
    <row r="55" spans="1:15" hidden="1">
      <c r="A55" s="256">
        <v>45672</v>
      </c>
      <c r="B55" s="257" t="s">
        <v>255</v>
      </c>
      <c r="C55" s="257" t="s">
        <v>256</v>
      </c>
      <c r="D55" s="258" t="s">
        <v>117</v>
      </c>
      <c r="E55" s="259">
        <v>72000</v>
      </c>
      <c r="F55" s="259">
        <v>126.26816200906674</v>
      </c>
      <c r="G55" s="260">
        <v>570.21500000000003</v>
      </c>
      <c r="H55" s="261" t="s">
        <v>193</v>
      </c>
      <c r="I55" s="261" t="s">
        <v>257</v>
      </c>
      <c r="J55" s="261" t="s">
        <v>98</v>
      </c>
      <c r="K55" s="262" t="s">
        <v>1901</v>
      </c>
      <c r="L55" s="261" t="s">
        <v>2085</v>
      </c>
      <c r="M55" s="257"/>
      <c r="N55" s="257"/>
      <c r="O55" s="257"/>
    </row>
    <row r="56" spans="1:15" hidden="1">
      <c r="A56" s="256">
        <v>45672</v>
      </c>
      <c r="B56" s="257" t="s">
        <v>258</v>
      </c>
      <c r="C56" s="263" t="s">
        <v>174</v>
      </c>
      <c r="D56" s="257" t="s">
        <v>2087</v>
      </c>
      <c r="E56" s="259">
        <v>25000</v>
      </c>
      <c r="F56" s="259">
        <v>43.843111808703732</v>
      </c>
      <c r="G56" s="260">
        <v>570.21500000000003</v>
      </c>
      <c r="H56" s="261" t="s">
        <v>197</v>
      </c>
      <c r="I56" s="261" t="s">
        <v>259</v>
      </c>
      <c r="J56" s="261" t="s">
        <v>98</v>
      </c>
      <c r="K56" s="262" t="s">
        <v>1901</v>
      </c>
      <c r="L56" s="261" t="s">
        <v>2085</v>
      </c>
      <c r="M56" s="257"/>
      <c r="N56" s="257"/>
      <c r="O56" s="257"/>
    </row>
    <row r="57" spans="1:15" hidden="1">
      <c r="A57" s="256">
        <v>45672</v>
      </c>
      <c r="B57" s="257" t="s">
        <v>260</v>
      </c>
      <c r="C57" s="263" t="s">
        <v>177</v>
      </c>
      <c r="D57" s="257" t="s">
        <v>2087</v>
      </c>
      <c r="E57" s="259">
        <v>19600</v>
      </c>
      <c r="F57" s="259">
        <v>34.372999658023723</v>
      </c>
      <c r="G57" s="260">
        <v>570.21500000000003</v>
      </c>
      <c r="H57" s="261" t="s">
        <v>197</v>
      </c>
      <c r="I57" s="261" t="s">
        <v>261</v>
      </c>
      <c r="J57" s="261" t="s">
        <v>98</v>
      </c>
      <c r="K57" s="262" t="s">
        <v>1901</v>
      </c>
      <c r="L57" s="261" t="s">
        <v>2085</v>
      </c>
      <c r="M57" s="257"/>
      <c r="N57" s="257"/>
      <c r="O57" s="257"/>
    </row>
    <row r="58" spans="1:15" hidden="1">
      <c r="A58" s="256">
        <v>45672</v>
      </c>
      <c r="B58" s="257" t="s">
        <v>262</v>
      </c>
      <c r="C58" s="263" t="s">
        <v>177</v>
      </c>
      <c r="D58" s="257" t="s">
        <v>2087</v>
      </c>
      <c r="E58" s="259">
        <v>9700</v>
      </c>
      <c r="F58" s="259">
        <v>17.011127381777047</v>
      </c>
      <c r="G58" s="260">
        <v>570.21500000000003</v>
      </c>
      <c r="H58" s="261" t="s">
        <v>213</v>
      </c>
      <c r="I58" s="261" t="s">
        <v>263</v>
      </c>
      <c r="J58" s="261" t="s">
        <v>98</v>
      </c>
      <c r="K58" s="262" t="s">
        <v>1901</v>
      </c>
      <c r="L58" s="261" t="s">
        <v>2085</v>
      </c>
      <c r="M58" s="257"/>
      <c r="N58" s="257"/>
      <c r="O58" s="257"/>
    </row>
    <row r="59" spans="1:15" hidden="1">
      <c r="A59" s="256">
        <v>45673</v>
      </c>
      <c r="B59" s="257" t="s">
        <v>264</v>
      </c>
      <c r="C59" s="257" t="s">
        <v>265</v>
      </c>
      <c r="D59" s="257" t="s">
        <v>2087</v>
      </c>
      <c r="E59" s="259">
        <v>160000</v>
      </c>
      <c r="F59" s="259">
        <v>280.59591557570388</v>
      </c>
      <c r="G59" s="260">
        <v>570.21500000000003</v>
      </c>
      <c r="H59" s="261" t="s">
        <v>200</v>
      </c>
      <c r="I59" s="261" t="s">
        <v>266</v>
      </c>
      <c r="J59" s="261" t="s">
        <v>98</v>
      </c>
      <c r="K59" s="262" t="s">
        <v>1901</v>
      </c>
      <c r="L59" s="261" t="s">
        <v>2085</v>
      </c>
      <c r="M59" s="257"/>
      <c r="N59" s="257"/>
      <c r="O59" s="257"/>
    </row>
    <row r="60" spans="1:15" hidden="1">
      <c r="A60" s="256">
        <v>45673</v>
      </c>
      <c r="B60" s="257" t="s">
        <v>267</v>
      </c>
      <c r="C60" s="257" t="s">
        <v>265</v>
      </c>
      <c r="D60" s="257" t="s">
        <v>2087</v>
      </c>
      <c r="E60" s="259">
        <v>20000</v>
      </c>
      <c r="F60" s="259">
        <v>35.074489446962986</v>
      </c>
      <c r="G60" s="260">
        <v>570.21500000000003</v>
      </c>
      <c r="H60" s="261" t="s">
        <v>200</v>
      </c>
      <c r="I60" s="261" t="s">
        <v>268</v>
      </c>
      <c r="J60" s="261" t="s">
        <v>98</v>
      </c>
      <c r="K60" s="262" t="s">
        <v>1901</v>
      </c>
      <c r="L60" s="261" t="s">
        <v>2085</v>
      </c>
      <c r="M60" s="257"/>
      <c r="N60" s="257"/>
      <c r="O60" s="257"/>
    </row>
    <row r="61" spans="1:15" hidden="1">
      <c r="A61" s="256">
        <v>45673</v>
      </c>
      <c r="B61" s="257" t="s">
        <v>269</v>
      </c>
      <c r="C61" s="264" t="s">
        <v>2086</v>
      </c>
      <c r="D61" s="257" t="s">
        <v>118</v>
      </c>
      <c r="E61" s="259">
        <v>6055</v>
      </c>
      <c r="F61" s="259">
        <v>10.618801680068044</v>
      </c>
      <c r="G61" s="260">
        <v>570.21500000000003</v>
      </c>
      <c r="H61" s="261" t="s">
        <v>157</v>
      </c>
      <c r="I61" s="261" t="s">
        <v>270</v>
      </c>
      <c r="J61" s="261" t="s">
        <v>98</v>
      </c>
      <c r="K61" s="262" t="s">
        <v>1901</v>
      </c>
      <c r="L61" s="261" t="s">
        <v>2085</v>
      </c>
      <c r="M61" s="257"/>
      <c r="N61" s="257"/>
      <c r="O61" s="257"/>
    </row>
    <row r="62" spans="1:15" hidden="1">
      <c r="A62" s="256">
        <v>45673</v>
      </c>
      <c r="B62" s="257" t="s">
        <v>271</v>
      </c>
      <c r="C62" s="263" t="s">
        <v>174</v>
      </c>
      <c r="D62" s="258" t="s">
        <v>117</v>
      </c>
      <c r="E62" s="259">
        <v>7000</v>
      </c>
      <c r="F62" s="259">
        <v>12.276071306437045</v>
      </c>
      <c r="G62" s="260">
        <v>570.21500000000003</v>
      </c>
      <c r="H62" s="261" t="s">
        <v>190</v>
      </c>
      <c r="I62" s="261" t="s">
        <v>272</v>
      </c>
      <c r="J62" s="261" t="s">
        <v>98</v>
      </c>
      <c r="K62" s="262" t="s">
        <v>1901</v>
      </c>
      <c r="L62" s="261" t="s">
        <v>2085</v>
      </c>
      <c r="M62" s="257"/>
      <c r="N62" s="257"/>
      <c r="O62" s="257"/>
    </row>
    <row r="63" spans="1:15" hidden="1">
      <c r="A63" s="256">
        <v>45673</v>
      </c>
      <c r="B63" s="257" t="s">
        <v>273</v>
      </c>
      <c r="C63" s="263" t="s">
        <v>177</v>
      </c>
      <c r="D63" s="258" t="s">
        <v>117</v>
      </c>
      <c r="E63" s="259">
        <v>20000</v>
      </c>
      <c r="F63" s="259">
        <v>35.074489446962986</v>
      </c>
      <c r="G63" s="260">
        <v>570.21500000000003</v>
      </c>
      <c r="H63" s="261" t="s">
        <v>193</v>
      </c>
      <c r="I63" s="261" t="s">
        <v>274</v>
      </c>
      <c r="J63" s="261" t="s">
        <v>98</v>
      </c>
      <c r="K63" s="262" t="s">
        <v>1901</v>
      </c>
      <c r="L63" s="261" t="s">
        <v>2085</v>
      </c>
      <c r="M63" s="257"/>
      <c r="N63" s="257"/>
      <c r="O63" s="257"/>
    </row>
    <row r="64" spans="1:15" hidden="1">
      <c r="A64" s="256">
        <v>45673</v>
      </c>
      <c r="B64" s="257" t="s">
        <v>275</v>
      </c>
      <c r="C64" s="263" t="s">
        <v>174</v>
      </c>
      <c r="D64" s="257" t="s">
        <v>120</v>
      </c>
      <c r="E64" s="259">
        <v>7000</v>
      </c>
      <c r="F64" s="259">
        <v>12.276071306437045</v>
      </c>
      <c r="G64" s="260">
        <v>570.21500000000003</v>
      </c>
      <c r="H64" s="261" t="s">
        <v>213</v>
      </c>
      <c r="I64" s="261" t="s">
        <v>276</v>
      </c>
      <c r="J64" s="261" t="s">
        <v>98</v>
      </c>
      <c r="K64" s="262" t="s">
        <v>1901</v>
      </c>
      <c r="L64" s="261" t="s">
        <v>2085</v>
      </c>
      <c r="M64" s="257"/>
      <c r="N64" s="257"/>
      <c r="O64" s="257"/>
    </row>
    <row r="65" spans="1:15" hidden="1">
      <c r="A65" s="256">
        <v>45674</v>
      </c>
      <c r="B65" s="257" t="s">
        <v>277</v>
      </c>
      <c r="C65" s="264" t="s">
        <v>2086</v>
      </c>
      <c r="D65" s="257" t="s">
        <v>118</v>
      </c>
      <c r="E65" s="259">
        <v>6720</v>
      </c>
      <c r="F65" s="259">
        <v>11.785028454179564</v>
      </c>
      <c r="G65" s="260">
        <v>570.21500000000003</v>
      </c>
      <c r="H65" s="261" t="s">
        <v>157</v>
      </c>
      <c r="I65" s="261" t="s">
        <v>278</v>
      </c>
      <c r="J65" s="261" t="s">
        <v>98</v>
      </c>
      <c r="K65" s="262" t="s">
        <v>1901</v>
      </c>
      <c r="L65" s="261" t="s">
        <v>2085</v>
      </c>
      <c r="M65" s="257"/>
      <c r="N65" s="257"/>
      <c r="O65" s="257"/>
    </row>
    <row r="66" spans="1:15" hidden="1">
      <c r="A66" s="256">
        <v>45674</v>
      </c>
      <c r="B66" s="257" t="s">
        <v>279</v>
      </c>
      <c r="C66" s="257" t="s">
        <v>256</v>
      </c>
      <c r="D66" s="258" t="s">
        <v>117</v>
      </c>
      <c r="E66" s="259">
        <v>176000</v>
      </c>
      <c r="F66" s="259">
        <v>308.65550713327428</v>
      </c>
      <c r="G66" s="260">
        <v>570.21500000000003</v>
      </c>
      <c r="H66" s="261" t="s">
        <v>157</v>
      </c>
      <c r="I66" s="261" t="s">
        <v>280</v>
      </c>
      <c r="J66" s="261" t="s">
        <v>98</v>
      </c>
      <c r="K66" s="262" t="s">
        <v>1901</v>
      </c>
      <c r="L66" s="261" t="s">
        <v>2085</v>
      </c>
      <c r="M66" s="257"/>
      <c r="N66" s="257"/>
      <c r="O66" s="257"/>
    </row>
    <row r="67" spans="1:15" hidden="1">
      <c r="A67" s="256">
        <v>45674</v>
      </c>
      <c r="B67" s="257" t="s">
        <v>3166</v>
      </c>
      <c r="C67" s="263" t="s">
        <v>177</v>
      </c>
      <c r="D67" s="258" t="s">
        <v>442</v>
      </c>
      <c r="E67" s="259">
        <v>100000</v>
      </c>
      <c r="F67" s="259">
        <v>175.37244723481493</v>
      </c>
      <c r="G67" s="260">
        <v>570.21500000000003</v>
      </c>
      <c r="H67" s="261" t="s">
        <v>184</v>
      </c>
      <c r="I67" s="261" t="s">
        <v>281</v>
      </c>
      <c r="J67" s="261" t="s">
        <v>98</v>
      </c>
      <c r="K67" s="262" t="s">
        <v>1901</v>
      </c>
      <c r="L67" s="261" t="s">
        <v>2085</v>
      </c>
      <c r="M67" s="257"/>
      <c r="N67" s="257"/>
      <c r="O67" s="257"/>
    </row>
    <row r="68" spans="1:15" hidden="1">
      <c r="A68" s="256">
        <v>45674</v>
      </c>
      <c r="B68" s="257" t="s">
        <v>3166</v>
      </c>
      <c r="C68" s="263" t="s">
        <v>177</v>
      </c>
      <c r="D68" s="258" t="s">
        <v>442</v>
      </c>
      <c r="E68" s="259">
        <v>100000</v>
      </c>
      <c r="F68" s="259">
        <v>175.37244723481493</v>
      </c>
      <c r="G68" s="260">
        <v>570.21500000000003</v>
      </c>
      <c r="H68" s="261" t="s">
        <v>184</v>
      </c>
      <c r="I68" s="261" t="s">
        <v>282</v>
      </c>
      <c r="J68" s="261" t="s">
        <v>98</v>
      </c>
      <c r="K68" s="262" t="s">
        <v>1901</v>
      </c>
      <c r="L68" s="261" t="s">
        <v>2085</v>
      </c>
      <c r="M68" s="257"/>
      <c r="N68" s="257"/>
      <c r="O68" s="257"/>
    </row>
    <row r="69" spans="1:15" hidden="1">
      <c r="A69" s="256">
        <v>45674</v>
      </c>
      <c r="B69" s="257" t="s">
        <v>3076</v>
      </c>
      <c r="C69" s="263" t="s">
        <v>174</v>
      </c>
      <c r="D69" s="258" t="s">
        <v>442</v>
      </c>
      <c r="E69" s="259">
        <v>7000</v>
      </c>
      <c r="F69" s="259">
        <v>12.276071306437045</v>
      </c>
      <c r="G69" s="260">
        <v>570.21500000000003</v>
      </c>
      <c r="H69" s="261" t="s">
        <v>184</v>
      </c>
      <c r="I69" s="261" t="s">
        <v>283</v>
      </c>
      <c r="J69" s="261" t="s">
        <v>98</v>
      </c>
      <c r="K69" s="262" t="s">
        <v>1901</v>
      </c>
      <c r="L69" s="261" t="s">
        <v>2085</v>
      </c>
      <c r="M69" s="257"/>
      <c r="N69" s="257"/>
      <c r="O69" s="257"/>
    </row>
    <row r="70" spans="1:15" hidden="1">
      <c r="A70" s="256">
        <v>45674</v>
      </c>
      <c r="B70" s="257" t="s">
        <v>3164</v>
      </c>
      <c r="C70" s="263" t="s">
        <v>177</v>
      </c>
      <c r="D70" s="258" t="s">
        <v>442</v>
      </c>
      <c r="E70" s="259">
        <v>30000</v>
      </c>
      <c r="F70" s="259">
        <v>52.611734170444478</v>
      </c>
      <c r="G70" s="260">
        <v>570.21500000000003</v>
      </c>
      <c r="H70" s="261" t="s">
        <v>184</v>
      </c>
      <c r="I70" s="261" t="s">
        <v>284</v>
      </c>
      <c r="J70" s="261" t="s">
        <v>98</v>
      </c>
      <c r="K70" s="262" t="s">
        <v>1901</v>
      </c>
      <c r="L70" s="261" t="s">
        <v>2085</v>
      </c>
      <c r="M70" s="257"/>
      <c r="N70" s="257"/>
      <c r="O70" s="257"/>
    </row>
    <row r="71" spans="1:15" hidden="1">
      <c r="A71" s="256">
        <v>45674</v>
      </c>
      <c r="B71" s="257" t="s">
        <v>3082</v>
      </c>
      <c r="C71" s="263" t="s">
        <v>177</v>
      </c>
      <c r="D71" s="258" t="s">
        <v>442</v>
      </c>
      <c r="E71" s="259">
        <v>30000</v>
      </c>
      <c r="F71" s="259">
        <v>52.611734170444478</v>
      </c>
      <c r="G71" s="260">
        <v>570.21500000000003</v>
      </c>
      <c r="H71" s="261" t="s">
        <v>175</v>
      </c>
      <c r="I71" s="261" t="s">
        <v>285</v>
      </c>
      <c r="J71" s="261" t="s">
        <v>98</v>
      </c>
      <c r="K71" s="262" t="s">
        <v>1901</v>
      </c>
      <c r="L71" s="261" t="s">
        <v>2085</v>
      </c>
      <c r="M71" s="257"/>
      <c r="N71" s="257"/>
      <c r="O71" s="257"/>
    </row>
    <row r="72" spans="1:15" hidden="1">
      <c r="A72" s="256">
        <v>45674</v>
      </c>
      <c r="B72" s="257" t="s">
        <v>3167</v>
      </c>
      <c r="C72" s="263" t="s">
        <v>174</v>
      </c>
      <c r="D72" s="258" t="s">
        <v>442</v>
      </c>
      <c r="E72" s="259">
        <v>7000</v>
      </c>
      <c r="F72" s="259">
        <v>12.276071306437045</v>
      </c>
      <c r="G72" s="260">
        <v>570.21500000000003</v>
      </c>
      <c r="H72" s="261" t="s">
        <v>175</v>
      </c>
      <c r="I72" s="261" t="s">
        <v>286</v>
      </c>
      <c r="J72" s="261" t="s">
        <v>98</v>
      </c>
      <c r="K72" s="262" t="s">
        <v>1901</v>
      </c>
      <c r="L72" s="261" t="s">
        <v>2085</v>
      </c>
      <c r="M72" s="257"/>
      <c r="N72" s="257"/>
      <c r="O72" s="257"/>
    </row>
    <row r="73" spans="1:15" hidden="1">
      <c r="A73" s="256">
        <v>45674</v>
      </c>
      <c r="B73" s="257" t="s">
        <v>287</v>
      </c>
      <c r="C73" s="263" t="s">
        <v>177</v>
      </c>
      <c r="D73" s="258" t="s">
        <v>117</v>
      </c>
      <c r="E73" s="259">
        <v>30000</v>
      </c>
      <c r="F73" s="259">
        <v>52.611734170444478</v>
      </c>
      <c r="G73" s="260">
        <v>570.21500000000003</v>
      </c>
      <c r="H73" s="261" t="s">
        <v>190</v>
      </c>
      <c r="I73" s="261" t="s">
        <v>288</v>
      </c>
      <c r="J73" s="261" t="s">
        <v>98</v>
      </c>
      <c r="K73" s="262" t="s">
        <v>1901</v>
      </c>
      <c r="L73" s="261" t="s">
        <v>2085</v>
      </c>
      <c r="M73" s="257"/>
      <c r="N73" s="257"/>
      <c r="O73" s="257"/>
    </row>
    <row r="74" spans="1:15" hidden="1">
      <c r="A74" s="256">
        <v>45674</v>
      </c>
      <c r="B74" s="257" t="s">
        <v>289</v>
      </c>
      <c r="C74" s="257" t="s">
        <v>313</v>
      </c>
      <c r="D74" s="258" t="s">
        <v>117</v>
      </c>
      <c r="E74" s="259">
        <v>12000</v>
      </c>
      <c r="F74" s="259">
        <v>21.044693668177793</v>
      </c>
      <c r="G74" s="260">
        <v>570.21500000000003</v>
      </c>
      <c r="H74" s="261" t="s">
        <v>193</v>
      </c>
      <c r="I74" s="261" t="s">
        <v>290</v>
      </c>
      <c r="J74" s="261" t="s">
        <v>98</v>
      </c>
      <c r="K74" s="262" t="s">
        <v>1901</v>
      </c>
      <c r="L74" s="261" t="s">
        <v>2085</v>
      </c>
      <c r="M74" s="257"/>
      <c r="N74" s="257"/>
      <c r="O74" s="257"/>
    </row>
    <row r="75" spans="1:15" hidden="1">
      <c r="A75" s="256">
        <v>45674</v>
      </c>
      <c r="B75" s="257" t="s">
        <v>291</v>
      </c>
      <c r="C75" s="263" t="s">
        <v>174</v>
      </c>
      <c r="D75" s="258" t="s">
        <v>117</v>
      </c>
      <c r="E75" s="259">
        <v>8000</v>
      </c>
      <c r="F75" s="259">
        <v>14.029795778785195</v>
      </c>
      <c r="G75" s="260">
        <v>570.21500000000003</v>
      </c>
      <c r="H75" s="261" t="s">
        <v>193</v>
      </c>
      <c r="I75" s="261" t="s">
        <v>292</v>
      </c>
      <c r="J75" s="261" t="s">
        <v>98</v>
      </c>
      <c r="K75" s="262" t="s">
        <v>1901</v>
      </c>
      <c r="L75" s="261" t="s">
        <v>2085</v>
      </c>
      <c r="M75" s="257"/>
      <c r="N75" s="257"/>
      <c r="O75" s="257"/>
    </row>
    <row r="76" spans="1:15" hidden="1">
      <c r="A76" s="256">
        <v>45674</v>
      </c>
      <c r="B76" s="257" t="s">
        <v>294</v>
      </c>
      <c r="C76" s="263" t="s">
        <v>177</v>
      </c>
      <c r="D76" s="257" t="s">
        <v>120</v>
      </c>
      <c r="E76" s="259">
        <v>105000</v>
      </c>
      <c r="F76" s="259">
        <v>184.14106959655567</v>
      </c>
      <c r="G76" s="260">
        <v>570.21500000000003</v>
      </c>
      <c r="H76" s="261" t="s">
        <v>213</v>
      </c>
      <c r="I76" s="261" t="s">
        <v>295</v>
      </c>
      <c r="J76" s="261" t="s">
        <v>98</v>
      </c>
      <c r="K76" s="262" t="s">
        <v>1901</v>
      </c>
      <c r="L76" s="261" t="s">
        <v>2085</v>
      </c>
      <c r="M76" s="257"/>
      <c r="N76" s="257"/>
      <c r="O76" s="257"/>
    </row>
    <row r="77" spans="1:15" hidden="1">
      <c r="A77" s="286">
        <v>45674</v>
      </c>
      <c r="B77" s="257" t="s">
        <v>103</v>
      </c>
      <c r="C77" s="257" t="s">
        <v>125</v>
      </c>
      <c r="D77" s="257"/>
      <c r="E77" s="287"/>
      <c r="F77" s="288"/>
      <c r="G77" s="289">
        <f>+M77/N77</f>
        <v>596.1932333333333</v>
      </c>
      <c r="H77" s="257" t="s">
        <v>148</v>
      </c>
      <c r="I77" s="257" t="s">
        <v>131</v>
      </c>
      <c r="J77" s="257" t="s">
        <v>98</v>
      </c>
      <c r="K77" s="257" t="s">
        <v>1901</v>
      </c>
      <c r="L77" s="257" t="s">
        <v>155</v>
      </c>
      <c r="M77" s="290">
        <v>17885797</v>
      </c>
      <c r="N77" s="257">
        <v>30000</v>
      </c>
      <c r="O77" s="257"/>
    </row>
    <row r="78" spans="1:15" hidden="1">
      <c r="A78" s="256">
        <v>45675</v>
      </c>
      <c r="B78" s="257" t="s">
        <v>296</v>
      </c>
      <c r="C78" s="263" t="s">
        <v>177</v>
      </c>
      <c r="D78" s="258" t="s">
        <v>117</v>
      </c>
      <c r="E78" s="259">
        <v>30000</v>
      </c>
      <c r="F78" s="259">
        <v>50.319275804982617</v>
      </c>
      <c r="G78" s="260">
        <v>596.19299999999998</v>
      </c>
      <c r="H78" s="261" t="s">
        <v>193</v>
      </c>
      <c r="I78" s="261" t="s">
        <v>297</v>
      </c>
      <c r="J78" s="261" t="s">
        <v>98</v>
      </c>
      <c r="K78" s="262" t="s">
        <v>1901</v>
      </c>
      <c r="L78" s="261" t="s">
        <v>2085</v>
      </c>
      <c r="M78" s="257"/>
      <c r="N78" s="257"/>
      <c r="O78" s="257"/>
    </row>
    <row r="79" spans="1:15" hidden="1">
      <c r="A79" s="256">
        <v>45676</v>
      </c>
      <c r="B79" s="257" t="s">
        <v>477</v>
      </c>
      <c r="C79" s="263" t="s">
        <v>174</v>
      </c>
      <c r="D79" s="258" t="s">
        <v>117</v>
      </c>
      <c r="E79" s="259">
        <v>7000</v>
      </c>
      <c r="F79" s="259">
        <v>12.276071306437045</v>
      </c>
      <c r="G79" s="260">
        <v>570.21500000000003</v>
      </c>
      <c r="H79" s="261" t="s">
        <v>197</v>
      </c>
      <c r="I79" s="261" t="s">
        <v>293</v>
      </c>
      <c r="J79" s="261" t="s">
        <v>98</v>
      </c>
      <c r="K79" s="262" t="s">
        <v>1901</v>
      </c>
      <c r="L79" s="261" t="s">
        <v>2085</v>
      </c>
      <c r="M79" s="257"/>
      <c r="N79" s="257"/>
      <c r="O79" s="257"/>
    </row>
    <row r="80" spans="1:15" hidden="1">
      <c r="A80" s="256">
        <v>45676</v>
      </c>
      <c r="B80" s="257" t="s">
        <v>298</v>
      </c>
      <c r="C80" s="263" t="s">
        <v>177</v>
      </c>
      <c r="D80" s="258" t="s">
        <v>117</v>
      </c>
      <c r="E80" s="259">
        <v>150000</v>
      </c>
      <c r="F80" s="259">
        <v>251.59637902491309</v>
      </c>
      <c r="G80" s="260">
        <v>596.19299999999998</v>
      </c>
      <c r="H80" s="261" t="s">
        <v>197</v>
      </c>
      <c r="I80" s="261" t="s">
        <v>299</v>
      </c>
      <c r="J80" s="261" t="s">
        <v>98</v>
      </c>
      <c r="K80" s="262" t="s">
        <v>1901</v>
      </c>
      <c r="L80" s="261" t="s">
        <v>2085</v>
      </c>
      <c r="M80" s="257"/>
      <c r="N80" s="257"/>
      <c r="O80" s="257"/>
    </row>
    <row r="81" spans="1:15" hidden="1">
      <c r="A81" s="256">
        <v>45676</v>
      </c>
      <c r="B81" s="257" t="s">
        <v>300</v>
      </c>
      <c r="C81" s="263" t="s">
        <v>174</v>
      </c>
      <c r="D81" s="258" t="s">
        <v>117</v>
      </c>
      <c r="E81" s="259">
        <v>12500</v>
      </c>
      <c r="F81" s="259">
        <v>20.966364918742755</v>
      </c>
      <c r="G81" s="260">
        <v>596.19299999999998</v>
      </c>
      <c r="H81" s="261" t="s">
        <v>197</v>
      </c>
      <c r="I81" s="261" t="s">
        <v>301</v>
      </c>
      <c r="J81" s="261" t="s">
        <v>98</v>
      </c>
      <c r="K81" s="262" t="s">
        <v>1901</v>
      </c>
      <c r="L81" s="261" t="s">
        <v>2085</v>
      </c>
      <c r="M81" s="257"/>
      <c r="N81" s="257"/>
      <c r="O81" s="257"/>
    </row>
    <row r="82" spans="1:15" hidden="1">
      <c r="A82" s="256">
        <v>45677</v>
      </c>
      <c r="B82" s="257" t="s">
        <v>478</v>
      </c>
      <c r="C82" s="263" t="s">
        <v>1163</v>
      </c>
      <c r="D82" s="257" t="s">
        <v>118</v>
      </c>
      <c r="E82" s="259">
        <v>195000</v>
      </c>
      <c r="F82" s="259">
        <v>327.07529273238703</v>
      </c>
      <c r="G82" s="260">
        <v>596.19299999999998</v>
      </c>
      <c r="H82" s="261" t="s">
        <v>157</v>
      </c>
      <c r="I82" s="261" t="s">
        <v>302</v>
      </c>
      <c r="J82" s="261" t="s">
        <v>98</v>
      </c>
      <c r="K82" s="262" t="s">
        <v>1901</v>
      </c>
      <c r="L82" s="261" t="s">
        <v>2085</v>
      </c>
      <c r="M82" s="257"/>
      <c r="N82" s="257"/>
      <c r="O82" s="257"/>
    </row>
    <row r="83" spans="1:15" hidden="1">
      <c r="A83" s="256">
        <v>45677</v>
      </c>
      <c r="B83" s="257" t="s">
        <v>303</v>
      </c>
      <c r="C83" s="263" t="s">
        <v>304</v>
      </c>
      <c r="D83" s="257" t="s">
        <v>118</v>
      </c>
      <c r="E83" s="259">
        <v>20000</v>
      </c>
      <c r="F83" s="259">
        <v>33.546183869988411</v>
      </c>
      <c r="G83" s="260">
        <v>596.19299999999998</v>
      </c>
      <c r="H83" s="261" t="s">
        <v>157</v>
      </c>
      <c r="I83" s="261" t="s">
        <v>305</v>
      </c>
      <c r="J83" s="261" t="s">
        <v>98</v>
      </c>
      <c r="K83" s="262" t="s">
        <v>1901</v>
      </c>
      <c r="L83" s="261" t="s">
        <v>2085</v>
      </c>
      <c r="M83" s="257"/>
      <c r="N83" s="257"/>
      <c r="O83" s="257"/>
    </row>
    <row r="84" spans="1:15" hidden="1">
      <c r="A84" s="256">
        <v>45678</v>
      </c>
      <c r="B84" s="257" t="s">
        <v>3168</v>
      </c>
      <c r="C84" s="263" t="s">
        <v>174</v>
      </c>
      <c r="D84" s="258" t="s">
        <v>442</v>
      </c>
      <c r="E84" s="259">
        <v>7000</v>
      </c>
      <c r="F84" s="259">
        <v>11.741164354495943</v>
      </c>
      <c r="G84" s="260">
        <v>596.19299999999998</v>
      </c>
      <c r="H84" s="261" t="s">
        <v>175</v>
      </c>
      <c r="I84" s="261" t="s">
        <v>306</v>
      </c>
      <c r="J84" s="261" t="s">
        <v>98</v>
      </c>
      <c r="K84" s="262" t="s">
        <v>1901</v>
      </c>
      <c r="L84" s="261" t="s">
        <v>2085</v>
      </c>
      <c r="M84" s="257"/>
      <c r="N84" s="257"/>
      <c r="O84" s="257"/>
    </row>
    <row r="85" spans="1:15" hidden="1">
      <c r="A85" s="256">
        <v>45678</v>
      </c>
      <c r="B85" s="257" t="s">
        <v>307</v>
      </c>
      <c r="C85" s="257" t="s">
        <v>308</v>
      </c>
      <c r="D85" s="258" t="s">
        <v>442</v>
      </c>
      <c r="E85" s="259">
        <v>10000</v>
      </c>
      <c r="F85" s="259">
        <v>17.537244723481493</v>
      </c>
      <c r="G85" s="260">
        <v>570.21500000000003</v>
      </c>
      <c r="H85" s="261" t="s">
        <v>175</v>
      </c>
      <c r="I85" s="261" t="s">
        <v>309</v>
      </c>
      <c r="J85" s="261" t="s">
        <v>98</v>
      </c>
      <c r="K85" s="262" t="s">
        <v>1901</v>
      </c>
      <c r="L85" s="261" t="s">
        <v>2085</v>
      </c>
      <c r="M85" s="257"/>
      <c r="N85" s="257"/>
      <c r="O85" s="257"/>
    </row>
    <row r="86" spans="1:15" hidden="1">
      <c r="A86" s="256">
        <v>45678</v>
      </c>
      <c r="B86" s="257" t="s">
        <v>310</v>
      </c>
      <c r="C86" s="263" t="s">
        <v>1163</v>
      </c>
      <c r="D86" s="257" t="s">
        <v>2087</v>
      </c>
      <c r="E86" s="259">
        <v>24675</v>
      </c>
      <c r="F86" s="259">
        <v>43.273151355190585</v>
      </c>
      <c r="G86" s="260">
        <v>570.21500000000003</v>
      </c>
      <c r="H86" s="261" t="s">
        <v>187</v>
      </c>
      <c r="I86" s="261" t="s">
        <v>311</v>
      </c>
      <c r="J86" s="261" t="s">
        <v>98</v>
      </c>
      <c r="K86" s="262" t="s">
        <v>1901</v>
      </c>
      <c r="L86" s="261" t="s">
        <v>2085</v>
      </c>
      <c r="M86" s="257"/>
      <c r="N86" s="257"/>
      <c r="O86" s="257"/>
    </row>
    <row r="87" spans="1:15" hidden="1">
      <c r="A87" s="256">
        <v>45678</v>
      </c>
      <c r="B87" s="257" t="s">
        <v>312</v>
      </c>
      <c r="C87" s="257" t="s">
        <v>313</v>
      </c>
      <c r="D87" s="258" t="s">
        <v>117</v>
      </c>
      <c r="E87" s="259">
        <v>26000</v>
      </c>
      <c r="F87" s="259">
        <v>43.610039030984936</v>
      </c>
      <c r="G87" s="260">
        <v>596.19299999999998</v>
      </c>
      <c r="H87" s="261" t="s">
        <v>187</v>
      </c>
      <c r="I87" s="261" t="s">
        <v>314</v>
      </c>
      <c r="J87" s="261" t="s">
        <v>98</v>
      </c>
      <c r="K87" s="262" t="s">
        <v>1901</v>
      </c>
      <c r="L87" s="261" t="s">
        <v>2085</v>
      </c>
      <c r="M87" s="257"/>
      <c r="N87" s="257"/>
      <c r="O87" s="257"/>
    </row>
    <row r="88" spans="1:15" hidden="1">
      <c r="A88" s="256">
        <v>45678</v>
      </c>
      <c r="B88" s="257" t="s">
        <v>315</v>
      </c>
      <c r="C88" s="263" t="s">
        <v>2088</v>
      </c>
      <c r="D88" s="257" t="s">
        <v>120</v>
      </c>
      <c r="E88" s="259">
        <v>154000</v>
      </c>
      <c r="F88" s="259">
        <v>258.30561579891076</v>
      </c>
      <c r="G88" s="260">
        <v>596.19299999999998</v>
      </c>
      <c r="H88" s="261" t="s">
        <v>213</v>
      </c>
      <c r="I88" s="261" t="s">
        <v>316</v>
      </c>
      <c r="J88" s="261" t="s">
        <v>98</v>
      </c>
      <c r="K88" s="262" t="s">
        <v>1901</v>
      </c>
      <c r="L88" s="261" t="s">
        <v>2085</v>
      </c>
      <c r="M88" s="257"/>
      <c r="N88" s="257"/>
      <c r="O88" s="257"/>
    </row>
    <row r="89" spans="1:15" hidden="1">
      <c r="A89" s="256">
        <v>45679</v>
      </c>
      <c r="B89" s="257" t="s">
        <v>3169</v>
      </c>
      <c r="C89" s="263" t="s">
        <v>177</v>
      </c>
      <c r="D89" s="258" t="s">
        <v>442</v>
      </c>
      <c r="E89" s="259">
        <v>80000</v>
      </c>
      <c r="F89" s="259">
        <v>134.18473547995364</v>
      </c>
      <c r="G89" s="260">
        <v>596.19299999999998</v>
      </c>
      <c r="H89" s="261" t="s">
        <v>317</v>
      </c>
      <c r="I89" s="261" t="s">
        <v>318</v>
      </c>
      <c r="J89" s="261" t="s">
        <v>98</v>
      </c>
      <c r="K89" s="262" t="s">
        <v>1901</v>
      </c>
      <c r="L89" s="261" t="s">
        <v>2085</v>
      </c>
      <c r="M89" s="257"/>
      <c r="N89" s="257"/>
      <c r="O89" s="257"/>
    </row>
    <row r="90" spans="1:15" hidden="1">
      <c r="A90" s="256">
        <v>45679</v>
      </c>
      <c r="B90" s="257" t="s">
        <v>3066</v>
      </c>
      <c r="C90" s="263" t="s">
        <v>174</v>
      </c>
      <c r="D90" s="258" t="s">
        <v>442</v>
      </c>
      <c r="E90" s="259">
        <v>7000</v>
      </c>
      <c r="F90" s="259">
        <v>11.741164354495943</v>
      </c>
      <c r="G90" s="260">
        <v>596.19299999999998</v>
      </c>
      <c r="H90" s="261" t="s">
        <v>317</v>
      </c>
      <c r="I90" s="261" t="s">
        <v>319</v>
      </c>
      <c r="J90" s="261" t="s">
        <v>98</v>
      </c>
      <c r="K90" s="262" t="s">
        <v>1901</v>
      </c>
      <c r="L90" s="261" t="s">
        <v>2085</v>
      </c>
      <c r="M90" s="257"/>
      <c r="N90" s="257"/>
      <c r="O90" s="257"/>
    </row>
    <row r="91" spans="1:15" hidden="1">
      <c r="A91" s="256">
        <v>45679</v>
      </c>
      <c r="B91" s="257" t="s">
        <v>3076</v>
      </c>
      <c r="C91" s="263" t="s">
        <v>174</v>
      </c>
      <c r="D91" s="258" t="s">
        <v>442</v>
      </c>
      <c r="E91" s="259">
        <v>7000</v>
      </c>
      <c r="F91" s="259">
        <v>11.741164354495943</v>
      </c>
      <c r="G91" s="260">
        <v>596.19299999999998</v>
      </c>
      <c r="H91" s="261" t="s">
        <v>184</v>
      </c>
      <c r="I91" s="261" t="s">
        <v>320</v>
      </c>
      <c r="J91" s="261" t="s">
        <v>98</v>
      </c>
      <c r="K91" s="262" t="s">
        <v>1901</v>
      </c>
      <c r="L91" s="261" t="s">
        <v>2085</v>
      </c>
      <c r="M91" s="257"/>
      <c r="N91" s="257"/>
      <c r="O91" s="257"/>
    </row>
    <row r="92" spans="1:15" hidden="1">
      <c r="A92" s="256">
        <v>45679</v>
      </c>
      <c r="B92" s="257" t="s">
        <v>3163</v>
      </c>
      <c r="C92" s="263" t="s">
        <v>177</v>
      </c>
      <c r="D92" s="258" t="s">
        <v>442</v>
      </c>
      <c r="E92" s="259">
        <v>80000</v>
      </c>
      <c r="F92" s="259">
        <v>134.18473547995364</v>
      </c>
      <c r="G92" s="260">
        <v>596.19299999999998</v>
      </c>
      <c r="H92" s="261" t="s">
        <v>184</v>
      </c>
      <c r="I92" s="261" t="s">
        <v>321</v>
      </c>
      <c r="J92" s="261" t="s">
        <v>98</v>
      </c>
      <c r="K92" s="262" t="s">
        <v>1901</v>
      </c>
      <c r="L92" s="261" t="s">
        <v>2085</v>
      </c>
      <c r="M92" s="257"/>
      <c r="N92" s="257"/>
      <c r="O92" s="257"/>
    </row>
    <row r="93" spans="1:15" hidden="1">
      <c r="A93" s="256">
        <v>45679</v>
      </c>
      <c r="B93" s="257" t="s">
        <v>3162</v>
      </c>
      <c r="C93" s="263" t="s">
        <v>177</v>
      </c>
      <c r="D93" s="258" t="s">
        <v>442</v>
      </c>
      <c r="E93" s="259">
        <v>80000</v>
      </c>
      <c r="F93" s="259">
        <v>134.18473547995364</v>
      </c>
      <c r="G93" s="260">
        <v>596.19299999999998</v>
      </c>
      <c r="H93" s="261" t="s">
        <v>175</v>
      </c>
      <c r="I93" s="261" t="s">
        <v>322</v>
      </c>
      <c r="J93" s="261" t="s">
        <v>98</v>
      </c>
      <c r="K93" s="262" t="s">
        <v>1901</v>
      </c>
      <c r="L93" s="261" t="s">
        <v>2085</v>
      </c>
      <c r="M93" s="257"/>
      <c r="N93" s="257"/>
      <c r="O93" s="257"/>
    </row>
    <row r="94" spans="1:15" hidden="1">
      <c r="A94" s="256">
        <v>45679</v>
      </c>
      <c r="B94" s="257" t="s">
        <v>3170</v>
      </c>
      <c r="C94" s="263" t="s">
        <v>174</v>
      </c>
      <c r="D94" s="258" t="s">
        <v>442</v>
      </c>
      <c r="E94" s="259">
        <v>7000</v>
      </c>
      <c r="F94" s="259">
        <v>11.741164354495943</v>
      </c>
      <c r="G94" s="260">
        <v>596.19299999999998</v>
      </c>
      <c r="H94" s="261" t="s">
        <v>323</v>
      </c>
      <c r="I94" s="261" t="s">
        <v>324</v>
      </c>
      <c r="J94" s="261" t="s">
        <v>98</v>
      </c>
      <c r="K94" s="262" t="s">
        <v>1901</v>
      </c>
      <c r="L94" s="261" t="s">
        <v>2085</v>
      </c>
      <c r="M94" s="257"/>
      <c r="N94" s="257"/>
      <c r="O94" s="257"/>
    </row>
    <row r="95" spans="1:15" hidden="1">
      <c r="A95" s="256">
        <v>45679</v>
      </c>
      <c r="B95" s="257" t="s">
        <v>3171</v>
      </c>
      <c r="C95" s="263" t="s">
        <v>177</v>
      </c>
      <c r="D95" s="258" t="s">
        <v>442</v>
      </c>
      <c r="E95" s="259">
        <v>80000</v>
      </c>
      <c r="F95" s="259">
        <v>134.18473547995364</v>
      </c>
      <c r="G95" s="260">
        <v>596.19299999999998</v>
      </c>
      <c r="H95" s="261" t="s">
        <v>323</v>
      </c>
      <c r="I95" s="261" t="s">
        <v>325</v>
      </c>
      <c r="J95" s="261" t="s">
        <v>98</v>
      </c>
      <c r="K95" s="262" t="s">
        <v>1901</v>
      </c>
      <c r="L95" s="261" t="s">
        <v>2085</v>
      </c>
      <c r="M95" s="257"/>
      <c r="N95" s="257"/>
      <c r="O95" s="257"/>
    </row>
    <row r="96" spans="1:15" hidden="1">
      <c r="A96" s="256">
        <v>45679</v>
      </c>
      <c r="B96" s="257" t="s">
        <v>326</v>
      </c>
      <c r="C96" s="263" t="s">
        <v>174</v>
      </c>
      <c r="D96" s="258" t="s">
        <v>117</v>
      </c>
      <c r="E96" s="259">
        <v>14500</v>
      </c>
      <c r="F96" s="259">
        <v>24.320983305741599</v>
      </c>
      <c r="G96" s="260">
        <v>596.19299999999998</v>
      </c>
      <c r="H96" s="261" t="s">
        <v>190</v>
      </c>
      <c r="I96" s="261" t="s">
        <v>327</v>
      </c>
      <c r="J96" s="261" t="s">
        <v>98</v>
      </c>
      <c r="K96" s="262" t="s">
        <v>1901</v>
      </c>
      <c r="L96" s="261" t="s">
        <v>2085</v>
      </c>
      <c r="M96" s="257"/>
      <c r="N96" s="257"/>
      <c r="O96" s="257"/>
    </row>
    <row r="97" spans="1:15" hidden="1">
      <c r="A97" s="256">
        <v>45679</v>
      </c>
      <c r="B97" s="257" t="s">
        <v>328</v>
      </c>
      <c r="C97" s="264" t="s">
        <v>2086</v>
      </c>
      <c r="D97" s="257" t="s">
        <v>118</v>
      </c>
      <c r="E97" s="259">
        <v>3330</v>
      </c>
      <c r="F97" s="259">
        <v>5.5854396143530707</v>
      </c>
      <c r="G97" s="260">
        <v>596.19299999999998</v>
      </c>
      <c r="H97" s="261" t="s">
        <v>190</v>
      </c>
      <c r="I97" s="261" t="s">
        <v>329</v>
      </c>
      <c r="J97" s="261" t="s">
        <v>98</v>
      </c>
      <c r="K97" s="262" t="s">
        <v>1901</v>
      </c>
      <c r="L97" s="261" t="s">
        <v>2085</v>
      </c>
      <c r="M97" s="257"/>
      <c r="N97" s="257"/>
      <c r="O97" s="257"/>
    </row>
    <row r="98" spans="1:15" hidden="1">
      <c r="A98" s="256">
        <v>45679</v>
      </c>
      <c r="B98" s="257" t="s">
        <v>330</v>
      </c>
      <c r="C98" s="263" t="s">
        <v>1163</v>
      </c>
      <c r="D98" s="257" t="s">
        <v>118</v>
      </c>
      <c r="E98" s="259">
        <v>7500</v>
      </c>
      <c r="F98" s="259">
        <v>12.579818951245654</v>
      </c>
      <c r="G98" s="260">
        <v>596.19299999999998</v>
      </c>
      <c r="H98" s="261" t="s">
        <v>193</v>
      </c>
      <c r="I98" s="261" t="s">
        <v>331</v>
      </c>
      <c r="J98" s="261" t="s">
        <v>98</v>
      </c>
      <c r="K98" s="262" t="s">
        <v>1901</v>
      </c>
      <c r="L98" s="261" t="s">
        <v>2085</v>
      </c>
      <c r="M98" s="257"/>
      <c r="N98" s="257"/>
      <c r="O98" s="257"/>
    </row>
    <row r="99" spans="1:15" hidden="1">
      <c r="A99" s="256">
        <v>45680</v>
      </c>
      <c r="B99" s="257" t="s">
        <v>332</v>
      </c>
      <c r="C99" s="257" t="s">
        <v>127</v>
      </c>
      <c r="D99" s="258" t="s">
        <v>117</v>
      </c>
      <c r="E99" s="259">
        <v>21000</v>
      </c>
      <c r="F99" s="259">
        <v>35.22349306348783</v>
      </c>
      <c r="G99" s="260">
        <v>596.19299999999998</v>
      </c>
      <c r="H99" s="261" t="s">
        <v>157</v>
      </c>
      <c r="I99" s="261" t="s">
        <v>333</v>
      </c>
      <c r="J99" s="261" t="s">
        <v>98</v>
      </c>
      <c r="K99" s="262" t="s">
        <v>1901</v>
      </c>
      <c r="L99" s="261" t="s">
        <v>2085</v>
      </c>
      <c r="M99" s="257"/>
      <c r="N99" s="257"/>
      <c r="O99" s="257"/>
    </row>
    <row r="100" spans="1:15" hidden="1">
      <c r="A100" s="256">
        <v>45680</v>
      </c>
      <c r="B100" s="257" t="s">
        <v>334</v>
      </c>
      <c r="C100" s="264" t="s">
        <v>2086</v>
      </c>
      <c r="D100" s="257" t="s">
        <v>118</v>
      </c>
      <c r="E100" s="259">
        <v>21030</v>
      </c>
      <c r="F100" s="259">
        <v>35.273812339292817</v>
      </c>
      <c r="G100" s="260">
        <v>596.19299999999998</v>
      </c>
      <c r="H100" s="261" t="s">
        <v>193</v>
      </c>
      <c r="I100" s="261" t="s">
        <v>335</v>
      </c>
      <c r="J100" s="261" t="s">
        <v>98</v>
      </c>
      <c r="K100" s="262" t="s">
        <v>1901</v>
      </c>
      <c r="L100" s="261" t="s">
        <v>2085</v>
      </c>
      <c r="M100" s="257"/>
      <c r="N100" s="257"/>
      <c r="O100" s="257"/>
    </row>
    <row r="101" spans="1:15" hidden="1">
      <c r="A101" s="256">
        <v>45680</v>
      </c>
      <c r="B101" s="257" t="s">
        <v>104</v>
      </c>
      <c r="C101" s="257" t="s">
        <v>127</v>
      </c>
      <c r="D101" s="258" t="s">
        <v>119</v>
      </c>
      <c r="E101" s="259">
        <v>1311000</v>
      </c>
      <c r="F101" s="259">
        <v>2198.9523526777402</v>
      </c>
      <c r="G101" s="260">
        <v>596.19299999999998</v>
      </c>
      <c r="H101" s="261" t="s">
        <v>148</v>
      </c>
      <c r="I101" s="261" t="s">
        <v>133</v>
      </c>
      <c r="J101" s="261" t="s">
        <v>98</v>
      </c>
      <c r="K101" s="262" t="s">
        <v>1901</v>
      </c>
      <c r="L101" s="261" t="s">
        <v>2085</v>
      </c>
      <c r="M101" s="257"/>
      <c r="N101" s="257"/>
      <c r="O101" s="257"/>
    </row>
    <row r="102" spans="1:15" hidden="1">
      <c r="A102" s="256">
        <v>45680</v>
      </c>
      <c r="B102" s="257" t="s">
        <v>105</v>
      </c>
      <c r="C102" s="257" t="s">
        <v>127</v>
      </c>
      <c r="D102" s="258" t="s">
        <v>117</v>
      </c>
      <c r="E102" s="259">
        <v>200000</v>
      </c>
      <c r="F102" s="259">
        <v>335.46183869988408</v>
      </c>
      <c r="G102" s="260">
        <v>596.19299999999998</v>
      </c>
      <c r="H102" s="261" t="s">
        <v>148</v>
      </c>
      <c r="I102" s="261" t="s">
        <v>134</v>
      </c>
      <c r="J102" s="261" t="s">
        <v>98</v>
      </c>
      <c r="K102" s="262" t="s">
        <v>1901</v>
      </c>
      <c r="L102" s="261" t="s">
        <v>2085</v>
      </c>
      <c r="M102" s="257"/>
      <c r="N102" s="257"/>
      <c r="O102" s="257"/>
    </row>
    <row r="103" spans="1:15" hidden="1">
      <c r="A103" s="256">
        <v>45680</v>
      </c>
      <c r="B103" s="257" t="s">
        <v>106</v>
      </c>
      <c r="C103" s="257" t="s">
        <v>127</v>
      </c>
      <c r="D103" s="257" t="s">
        <v>118</v>
      </c>
      <c r="E103" s="259">
        <v>551482</v>
      </c>
      <c r="F103" s="259">
        <v>925.00582864944738</v>
      </c>
      <c r="G103" s="260">
        <v>596.19299999999998</v>
      </c>
      <c r="H103" s="261" t="s">
        <v>148</v>
      </c>
      <c r="I103" s="261" t="s">
        <v>135</v>
      </c>
      <c r="J103" s="261" t="s">
        <v>98</v>
      </c>
      <c r="K103" s="262" t="s">
        <v>1901</v>
      </c>
      <c r="L103" s="261" t="s">
        <v>2085</v>
      </c>
      <c r="M103" s="257"/>
      <c r="N103" s="257"/>
      <c r="O103" s="257"/>
    </row>
    <row r="104" spans="1:15" hidden="1">
      <c r="A104" s="256">
        <v>45680</v>
      </c>
      <c r="B104" s="257" t="s">
        <v>107</v>
      </c>
      <c r="C104" s="257" t="s">
        <v>127</v>
      </c>
      <c r="D104" s="258" t="s">
        <v>117</v>
      </c>
      <c r="E104" s="259">
        <v>384789</v>
      </c>
      <c r="F104" s="259">
        <v>645.41012725744849</v>
      </c>
      <c r="G104" s="260">
        <v>596.19299999999998</v>
      </c>
      <c r="H104" s="261" t="s">
        <v>148</v>
      </c>
      <c r="I104" s="261" t="s">
        <v>136</v>
      </c>
      <c r="J104" s="261" t="s">
        <v>98</v>
      </c>
      <c r="K104" s="262" t="s">
        <v>1901</v>
      </c>
      <c r="L104" s="261" t="s">
        <v>2085</v>
      </c>
      <c r="M104" s="257"/>
      <c r="N104" s="257"/>
      <c r="O104" s="257"/>
    </row>
    <row r="105" spans="1:15" hidden="1">
      <c r="A105" s="256">
        <v>45680</v>
      </c>
      <c r="B105" s="257" t="s">
        <v>108</v>
      </c>
      <c r="C105" s="257" t="s">
        <v>127</v>
      </c>
      <c r="D105" s="258" t="s">
        <v>117</v>
      </c>
      <c r="E105" s="259">
        <v>336400</v>
      </c>
      <c r="F105" s="259">
        <v>564.24681269320502</v>
      </c>
      <c r="G105" s="260">
        <v>596.19299999999998</v>
      </c>
      <c r="H105" s="261" t="s">
        <v>148</v>
      </c>
      <c r="I105" s="261" t="s">
        <v>137</v>
      </c>
      <c r="J105" s="261" t="s">
        <v>98</v>
      </c>
      <c r="K105" s="262" t="s">
        <v>1901</v>
      </c>
      <c r="L105" s="261" t="s">
        <v>2085</v>
      </c>
      <c r="M105" s="257"/>
      <c r="N105" s="257"/>
      <c r="O105" s="257"/>
    </row>
    <row r="106" spans="1:15" hidden="1">
      <c r="A106" s="256">
        <v>45680</v>
      </c>
      <c r="B106" s="257" t="s">
        <v>109</v>
      </c>
      <c r="C106" s="257" t="s">
        <v>127</v>
      </c>
      <c r="D106" s="258" t="s">
        <v>117</v>
      </c>
      <c r="E106" s="259">
        <v>200000</v>
      </c>
      <c r="F106" s="259">
        <v>335.46183869988408</v>
      </c>
      <c r="G106" s="260">
        <v>596.19299999999998</v>
      </c>
      <c r="H106" s="261" t="s">
        <v>148</v>
      </c>
      <c r="I106" s="261" t="s">
        <v>138</v>
      </c>
      <c r="J106" s="261" t="s">
        <v>98</v>
      </c>
      <c r="K106" s="262" t="s">
        <v>1901</v>
      </c>
      <c r="L106" s="261" t="s">
        <v>2085</v>
      </c>
      <c r="M106" s="257"/>
      <c r="N106" s="257"/>
      <c r="O106" s="257"/>
    </row>
    <row r="107" spans="1:15" hidden="1">
      <c r="A107" s="256">
        <v>45680</v>
      </c>
      <c r="B107" s="257" t="s">
        <v>110</v>
      </c>
      <c r="C107" s="257" t="s">
        <v>127</v>
      </c>
      <c r="D107" s="258" t="s">
        <v>117</v>
      </c>
      <c r="E107" s="259">
        <v>200000</v>
      </c>
      <c r="F107" s="259">
        <v>335.46183869988408</v>
      </c>
      <c r="G107" s="260">
        <v>596.19299999999998</v>
      </c>
      <c r="H107" s="261" t="s">
        <v>148</v>
      </c>
      <c r="I107" s="261" t="s">
        <v>139</v>
      </c>
      <c r="J107" s="261" t="s">
        <v>98</v>
      </c>
      <c r="K107" s="262" t="s">
        <v>1901</v>
      </c>
      <c r="L107" s="261" t="s">
        <v>2085</v>
      </c>
      <c r="M107" s="257"/>
      <c r="N107" s="257"/>
      <c r="O107" s="257"/>
    </row>
    <row r="108" spans="1:15" hidden="1">
      <c r="A108" s="256">
        <v>45680</v>
      </c>
      <c r="B108" s="257" t="s">
        <v>111</v>
      </c>
      <c r="C108" s="257" t="s">
        <v>127</v>
      </c>
      <c r="D108" s="257" t="s">
        <v>120</v>
      </c>
      <c r="E108" s="259">
        <v>238140</v>
      </c>
      <c r="F108" s="259">
        <v>399.43441133995202</v>
      </c>
      <c r="G108" s="260">
        <v>596.19299999999998</v>
      </c>
      <c r="H108" s="261" t="s">
        <v>148</v>
      </c>
      <c r="I108" s="261" t="s">
        <v>140</v>
      </c>
      <c r="J108" s="261" t="s">
        <v>98</v>
      </c>
      <c r="K108" s="262" t="s">
        <v>1901</v>
      </c>
      <c r="L108" s="261" t="s">
        <v>2085</v>
      </c>
      <c r="M108" s="257"/>
      <c r="N108" s="257"/>
      <c r="O108" s="257"/>
    </row>
    <row r="109" spans="1:15" hidden="1">
      <c r="A109" s="256">
        <v>45681</v>
      </c>
      <c r="B109" s="257" t="s">
        <v>336</v>
      </c>
      <c r="C109" s="263" t="s">
        <v>174</v>
      </c>
      <c r="D109" s="258" t="s">
        <v>117</v>
      </c>
      <c r="E109" s="259">
        <v>7000</v>
      </c>
      <c r="F109" s="259">
        <v>11.741164354495943</v>
      </c>
      <c r="G109" s="260">
        <v>596.19299999999998</v>
      </c>
      <c r="H109" s="261" t="s">
        <v>200</v>
      </c>
      <c r="I109" s="261" t="s">
        <v>337</v>
      </c>
      <c r="J109" s="261" t="s">
        <v>98</v>
      </c>
      <c r="K109" s="262" t="s">
        <v>1901</v>
      </c>
      <c r="L109" s="261" t="s">
        <v>2085</v>
      </c>
      <c r="M109" s="257"/>
      <c r="N109" s="257"/>
      <c r="O109" s="257"/>
    </row>
    <row r="110" spans="1:15" hidden="1">
      <c r="A110" s="256">
        <v>45681</v>
      </c>
      <c r="B110" s="257" t="s">
        <v>2997</v>
      </c>
      <c r="C110" s="263" t="s">
        <v>174</v>
      </c>
      <c r="D110" s="258" t="s">
        <v>442</v>
      </c>
      <c r="E110" s="259">
        <v>5000</v>
      </c>
      <c r="F110" s="259">
        <v>8.3865459674971028</v>
      </c>
      <c r="G110" s="260">
        <v>596.19299999999998</v>
      </c>
      <c r="H110" s="261" t="s">
        <v>317</v>
      </c>
      <c r="I110" s="261" t="s">
        <v>338</v>
      </c>
      <c r="J110" s="261" t="s">
        <v>98</v>
      </c>
      <c r="K110" s="262" t="s">
        <v>1901</v>
      </c>
      <c r="L110" s="261" t="s">
        <v>2085</v>
      </c>
      <c r="M110" s="257"/>
      <c r="N110" s="257"/>
      <c r="O110" s="257"/>
    </row>
    <row r="111" spans="1:15" hidden="1">
      <c r="A111" s="256">
        <v>45681</v>
      </c>
      <c r="B111" s="257" t="s">
        <v>3172</v>
      </c>
      <c r="C111" s="263" t="s">
        <v>174</v>
      </c>
      <c r="D111" s="258" t="s">
        <v>442</v>
      </c>
      <c r="E111" s="259">
        <v>5000</v>
      </c>
      <c r="F111" s="259">
        <v>8.3865459674971028</v>
      </c>
      <c r="G111" s="260">
        <v>596.19299999999998</v>
      </c>
      <c r="H111" s="261" t="s">
        <v>317</v>
      </c>
      <c r="I111" s="261" t="s">
        <v>339</v>
      </c>
      <c r="J111" s="261" t="s">
        <v>98</v>
      </c>
      <c r="K111" s="262" t="s">
        <v>1901</v>
      </c>
      <c r="L111" s="261" t="s">
        <v>2085</v>
      </c>
      <c r="M111" s="257"/>
      <c r="N111" s="257"/>
      <c r="O111" s="257"/>
    </row>
    <row r="112" spans="1:15" hidden="1">
      <c r="A112" s="256">
        <v>45681</v>
      </c>
      <c r="B112" s="257" t="s">
        <v>3164</v>
      </c>
      <c r="C112" s="263" t="s">
        <v>177</v>
      </c>
      <c r="D112" s="258" t="s">
        <v>442</v>
      </c>
      <c r="E112" s="259">
        <v>30000</v>
      </c>
      <c r="F112" s="259">
        <v>50.319275804982617</v>
      </c>
      <c r="G112" s="260">
        <v>596.19299999999998</v>
      </c>
      <c r="H112" s="261" t="s">
        <v>184</v>
      </c>
      <c r="I112" s="261" t="s">
        <v>340</v>
      </c>
      <c r="J112" s="261" t="s">
        <v>98</v>
      </c>
      <c r="K112" s="262" t="s">
        <v>1901</v>
      </c>
      <c r="L112" s="261" t="s">
        <v>2085</v>
      </c>
      <c r="M112" s="257"/>
      <c r="N112" s="257"/>
      <c r="O112" s="257"/>
    </row>
    <row r="113" spans="1:15" hidden="1">
      <c r="A113" s="256">
        <v>45681</v>
      </c>
      <c r="B113" s="257" t="s">
        <v>3029</v>
      </c>
      <c r="C113" s="263" t="s">
        <v>174</v>
      </c>
      <c r="D113" s="258" t="s">
        <v>442</v>
      </c>
      <c r="E113" s="259">
        <v>6000</v>
      </c>
      <c r="F113" s="259">
        <v>10.063855160996523</v>
      </c>
      <c r="G113" s="260">
        <v>596.19299999999998</v>
      </c>
      <c r="H113" s="261" t="s">
        <v>184</v>
      </c>
      <c r="I113" s="261" t="s">
        <v>341</v>
      </c>
      <c r="J113" s="261" t="s">
        <v>98</v>
      </c>
      <c r="K113" s="262" t="s">
        <v>1901</v>
      </c>
      <c r="L113" s="261" t="s">
        <v>2085</v>
      </c>
      <c r="M113" s="257"/>
      <c r="N113" s="257"/>
      <c r="O113" s="257"/>
    </row>
    <row r="114" spans="1:15" hidden="1">
      <c r="A114" s="256">
        <v>45681</v>
      </c>
      <c r="B114" s="257" t="s">
        <v>3082</v>
      </c>
      <c r="C114" s="263" t="s">
        <v>177</v>
      </c>
      <c r="D114" s="258" t="s">
        <v>442</v>
      </c>
      <c r="E114" s="259">
        <v>30000</v>
      </c>
      <c r="F114" s="259">
        <v>50.319275804982617</v>
      </c>
      <c r="G114" s="260">
        <v>596.19299999999998</v>
      </c>
      <c r="H114" s="261" t="s">
        <v>175</v>
      </c>
      <c r="I114" s="261" t="s">
        <v>342</v>
      </c>
      <c r="J114" s="261" t="s">
        <v>98</v>
      </c>
      <c r="K114" s="262" t="s">
        <v>1901</v>
      </c>
      <c r="L114" s="261" t="s">
        <v>2085</v>
      </c>
      <c r="M114" s="257"/>
      <c r="N114" s="257"/>
      <c r="O114" s="257"/>
    </row>
    <row r="115" spans="1:15" hidden="1">
      <c r="A115" s="256">
        <v>45681</v>
      </c>
      <c r="B115" s="257" t="s">
        <v>3173</v>
      </c>
      <c r="C115" s="263" t="s">
        <v>174</v>
      </c>
      <c r="D115" s="258" t="s">
        <v>442</v>
      </c>
      <c r="E115" s="259">
        <v>15000</v>
      </c>
      <c r="F115" s="259">
        <v>25.159637902491308</v>
      </c>
      <c r="G115" s="260">
        <v>596.19299999999998</v>
      </c>
      <c r="H115" s="261" t="s">
        <v>175</v>
      </c>
      <c r="I115" s="261" t="s">
        <v>343</v>
      </c>
      <c r="J115" s="261" t="s">
        <v>98</v>
      </c>
      <c r="K115" s="262" t="s">
        <v>1901</v>
      </c>
      <c r="L115" s="261" t="s">
        <v>2085</v>
      </c>
      <c r="M115" s="257"/>
      <c r="N115" s="257"/>
      <c r="O115" s="257"/>
    </row>
    <row r="116" spans="1:15" hidden="1">
      <c r="A116" s="256">
        <v>45681</v>
      </c>
      <c r="B116" s="257" t="s">
        <v>3174</v>
      </c>
      <c r="C116" s="263" t="s">
        <v>177</v>
      </c>
      <c r="D116" s="258" t="s">
        <v>442</v>
      </c>
      <c r="E116" s="259">
        <v>30000</v>
      </c>
      <c r="F116" s="259">
        <v>50.319275804982617</v>
      </c>
      <c r="G116" s="260">
        <v>596.19299999999998</v>
      </c>
      <c r="H116" s="261" t="s">
        <v>323</v>
      </c>
      <c r="I116" s="261" t="s">
        <v>344</v>
      </c>
      <c r="J116" s="261" t="s">
        <v>98</v>
      </c>
      <c r="K116" s="262" t="s">
        <v>1901</v>
      </c>
      <c r="L116" s="261" t="s">
        <v>2085</v>
      </c>
      <c r="M116" s="257"/>
      <c r="N116" s="257"/>
      <c r="O116" s="257"/>
    </row>
    <row r="117" spans="1:15" hidden="1">
      <c r="A117" s="256">
        <v>45681</v>
      </c>
      <c r="B117" s="257" t="s">
        <v>3175</v>
      </c>
      <c r="C117" s="263" t="s">
        <v>174</v>
      </c>
      <c r="D117" s="258" t="s">
        <v>442</v>
      </c>
      <c r="E117" s="259">
        <v>8000</v>
      </c>
      <c r="F117" s="259">
        <v>13.418473547995363</v>
      </c>
      <c r="G117" s="260">
        <v>596.19299999999998</v>
      </c>
      <c r="H117" s="261" t="s">
        <v>323</v>
      </c>
      <c r="I117" s="261" t="s">
        <v>345</v>
      </c>
      <c r="J117" s="261" t="s">
        <v>98</v>
      </c>
      <c r="K117" s="262" t="s">
        <v>1901</v>
      </c>
      <c r="L117" s="261" t="s">
        <v>2085</v>
      </c>
      <c r="M117" s="257"/>
      <c r="N117" s="257"/>
      <c r="O117" s="257"/>
    </row>
    <row r="118" spans="1:15" hidden="1">
      <c r="A118" s="256">
        <v>45681</v>
      </c>
      <c r="B118" s="257" t="s">
        <v>346</v>
      </c>
      <c r="C118" s="263" t="s">
        <v>174</v>
      </c>
      <c r="D118" s="258" t="s">
        <v>117</v>
      </c>
      <c r="E118" s="259">
        <v>7000</v>
      </c>
      <c r="F118" s="259">
        <v>11.741164354495943</v>
      </c>
      <c r="G118" s="260">
        <v>596.19299999999998</v>
      </c>
      <c r="H118" s="261" t="s">
        <v>187</v>
      </c>
      <c r="I118" s="261" t="s">
        <v>311</v>
      </c>
      <c r="J118" s="261" t="s">
        <v>98</v>
      </c>
      <c r="K118" s="262" t="s">
        <v>1901</v>
      </c>
      <c r="L118" s="261" t="s">
        <v>2085</v>
      </c>
      <c r="M118" s="257"/>
      <c r="N118" s="257"/>
      <c r="O118" s="257"/>
    </row>
    <row r="119" spans="1:15" hidden="1">
      <c r="A119" s="256">
        <v>45682</v>
      </c>
      <c r="B119" s="257" t="s">
        <v>347</v>
      </c>
      <c r="C119" s="263" t="s">
        <v>177</v>
      </c>
      <c r="D119" s="258" t="s">
        <v>117</v>
      </c>
      <c r="E119" s="259">
        <v>150000</v>
      </c>
      <c r="F119" s="259">
        <v>251.59637902491309</v>
      </c>
      <c r="G119" s="260">
        <v>596.19299999999998</v>
      </c>
      <c r="H119" s="261" t="s">
        <v>200</v>
      </c>
      <c r="I119" s="261" t="s">
        <v>348</v>
      </c>
      <c r="J119" s="261" t="s">
        <v>98</v>
      </c>
      <c r="K119" s="262" t="s">
        <v>1901</v>
      </c>
      <c r="L119" s="261" t="s">
        <v>2085</v>
      </c>
      <c r="M119" s="257"/>
      <c r="N119" s="257"/>
      <c r="O119" s="257"/>
    </row>
    <row r="120" spans="1:15" hidden="1">
      <c r="A120" s="256">
        <v>45682</v>
      </c>
      <c r="B120" s="257" t="s">
        <v>349</v>
      </c>
      <c r="C120" s="263" t="s">
        <v>174</v>
      </c>
      <c r="D120" s="258" t="s">
        <v>117</v>
      </c>
      <c r="E120" s="259">
        <v>13500</v>
      </c>
      <c r="F120" s="259">
        <v>22.643674112242177</v>
      </c>
      <c r="G120" s="260">
        <v>596.19299999999998</v>
      </c>
      <c r="H120" s="261" t="s">
        <v>200</v>
      </c>
      <c r="I120" s="261" t="s">
        <v>350</v>
      </c>
      <c r="J120" s="261" t="s">
        <v>98</v>
      </c>
      <c r="K120" s="262" t="s">
        <v>1901</v>
      </c>
      <c r="L120" s="261" t="s">
        <v>2085</v>
      </c>
      <c r="M120" s="257"/>
      <c r="N120" s="257"/>
      <c r="O120" s="257"/>
    </row>
    <row r="121" spans="1:15" hidden="1">
      <c r="A121" s="256">
        <v>45682</v>
      </c>
      <c r="B121" s="257" t="s">
        <v>351</v>
      </c>
      <c r="C121" s="263" t="s">
        <v>177</v>
      </c>
      <c r="D121" s="258" t="s">
        <v>117</v>
      </c>
      <c r="E121" s="259">
        <v>240000</v>
      </c>
      <c r="F121" s="259">
        <v>402.55420643986093</v>
      </c>
      <c r="G121" s="260">
        <v>596.19299999999998</v>
      </c>
      <c r="H121" s="261" t="s">
        <v>187</v>
      </c>
      <c r="I121" s="261" t="s">
        <v>352</v>
      </c>
      <c r="J121" s="261" t="s">
        <v>98</v>
      </c>
      <c r="K121" s="262" t="s">
        <v>1901</v>
      </c>
      <c r="L121" s="261" t="s">
        <v>2085</v>
      </c>
      <c r="M121" s="257"/>
      <c r="N121" s="257"/>
      <c r="O121" s="257"/>
    </row>
    <row r="122" spans="1:15" hidden="1">
      <c r="A122" s="256">
        <v>45683</v>
      </c>
      <c r="B122" s="257" t="s">
        <v>3176</v>
      </c>
      <c r="C122" s="263" t="s">
        <v>177</v>
      </c>
      <c r="D122" s="258" t="s">
        <v>442</v>
      </c>
      <c r="E122" s="259">
        <v>60000</v>
      </c>
      <c r="F122" s="259">
        <v>100.63855160996523</v>
      </c>
      <c r="G122" s="260">
        <v>596.19299999999998</v>
      </c>
      <c r="H122" s="261" t="s">
        <v>317</v>
      </c>
      <c r="I122" s="261" t="s">
        <v>353</v>
      </c>
      <c r="J122" s="261" t="s">
        <v>98</v>
      </c>
      <c r="K122" s="262" t="s">
        <v>1901</v>
      </c>
      <c r="L122" s="261" t="s">
        <v>2085</v>
      </c>
      <c r="M122" s="257"/>
      <c r="N122" s="257"/>
      <c r="O122" s="257"/>
    </row>
    <row r="123" spans="1:15" hidden="1">
      <c r="A123" s="256">
        <v>45683</v>
      </c>
      <c r="B123" s="257" t="s">
        <v>3066</v>
      </c>
      <c r="C123" s="263" t="s">
        <v>174</v>
      </c>
      <c r="D123" s="258" t="s">
        <v>442</v>
      </c>
      <c r="E123" s="259">
        <v>3000</v>
      </c>
      <c r="F123" s="259">
        <v>5.0319275804982615</v>
      </c>
      <c r="G123" s="260">
        <v>596.19299999999998</v>
      </c>
      <c r="H123" s="261" t="s">
        <v>317</v>
      </c>
      <c r="I123" s="261" t="s">
        <v>354</v>
      </c>
      <c r="J123" s="261" t="s">
        <v>98</v>
      </c>
      <c r="K123" s="262" t="s">
        <v>1901</v>
      </c>
      <c r="L123" s="261" t="s">
        <v>2085</v>
      </c>
      <c r="M123" s="257"/>
      <c r="N123" s="257"/>
      <c r="O123" s="257"/>
    </row>
    <row r="124" spans="1:15" hidden="1">
      <c r="A124" s="256">
        <v>45683</v>
      </c>
      <c r="B124" s="257" t="s">
        <v>3164</v>
      </c>
      <c r="C124" s="263" t="s">
        <v>177</v>
      </c>
      <c r="D124" s="258" t="s">
        <v>442</v>
      </c>
      <c r="E124" s="259">
        <v>30000</v>
      </c>
      <c r="F124" s="259">
        <v>50.319275804982617</v>
      </c>
      <c r="G124" s="260">
        <v>596.19299999999998</v>
      </c>
      <c r="H124" s="261" t="s">
        <v>184</v>
      </c>
      <c r="I124" s="261" t="s">
        <v>355</v>
      </c>
      <c r="J124" s="261" t="s">
        <v>98</v>
      </c>
      <c r="K124" s="262" t="s">
        <v>1901</v>
      </c>
      <c r="L124" s="261" t="s">
        <v>2085</v>
      </c>
      <c r="M124" s="257"/>
      <c r="N124" s="257"/>
      <c r="O124" s="257"/>
    </row>
    <row r="125" spans="1:15" hidden="1">
      <c r="A125" s="256">
        <v>45683</v>
      </c>
      <c r="B125" s="257" t="s">
        <v>3076</v>
      </c>
      <c r="C125" s="263" t="s">
        <v>174</v>
      </c>
      <c r="D125" s="258" t="s">
        <v>442</v>
      </c>
      <c r="E125" s="259">
        <v>6000</v>
      </c>
      <c r="F125" s="259">
        <v>10.063855160996523</v>
      </c>
      <c r="G125" s="260">
        <v>596.19299999999998</v>
      </c>
      <c r="H125" s="261" t="s">
        <v>184</v>
      </c>
      <c r="I125" s="261" t="s">
        <v>356</v>
      </c>
      <c r="J125" s="261" t="s">
        <v>98</v>
      </c>
      <c r="K125" s="262" t="s">
        <v>1901</v>
      </c>
      <c r="L125" s="261" t="s">
        <v>2085</v>
      </c>
      <c r="M125" s="257"/>
      <c r="N125" s="257"/>
      <c r="O125" s="257"/>
    </row>
    <row r="126" spans="1:15" hidden="1">
      <c r="A126" s="256">
        <v>45683</v>
      </c>
      <c r="B126" s="257" t="s">
        <v>3076</v>
      </c>
      <c r="C126" s="263" t="s">
        <v>174</v>
      </c>
      <c r="D126" s="258" t="s">
        <v>442</v>
      </c>
      <c r="E126" s="259">
        <v>5000</v>
      </c>
      <c r="F126" s="259">
        <v>8.3865459674971028</v>
      </c>
      <c r="G126" s="260">
        <v>596.19299999999998</v>
      </c>
      <c r="H126" s="261" t="s">
        <v>184</v>
      </c>
      <c r="I126" s="261" t="s">
        <v>357</v>
      </c>
      <c r="J126" s="261" t="s">
        <v>98</v>
      </c>
      <c r="K126" s="262" t="s">
        <v>1901</v>
      </c>
      <c r="L126" s="261" t="s">
        <v>2085</v>
      </c>
      <c r="M126" s="257"/>
      <c r="N126" s="257"/>
      <c r="O126" s="257"/>
    </row>
    <row r="127" spans="1:15" hidden="1">
      <c r="A127" s="256">
        <v>45683</v>
      </c>
      <c r="B127" s="257" t="s">
        <v>2992</v>
      </c>
      <c r="C127" s="263" t="s">
        <v>177</v>
      </c>
      <c r="D127" s="258" t="s">
        <v>442</v>
      </c>
      <c r="E127" s="259">
        <v>30000</v>
      </c>
      <c r="F127" s="259">
        <v>50.319275804982617</v>
      </c>
      <c r="G127" s="260">
        <v>596.19299999999998</v>
      </c>
      <c r="H127" s="261" t="s">
        <v>175</v>
      </c>
      <c r="I127" s="261" t="s">
        <v>358</v>
      </c>
      <c r="J127" s="261" t="s">
        <v>98</v>
      </c>
      <c r="K127" s="262" t="s">
        <v>1901</v>
      </c>
      <c r="L127" s="261" t="s">
        <v>2085</v>
      </c>
      <c r="M127" s="257"/>
      <c r="N127" s="257"/>
      <c r="O127" s="257"/>
    </row>
    <row r="128" spans="1:15" hidden="1">
      <c r="A128" s="256">
        <v>45683</v>
      </c>
      <c r="B128" s="257" t="s">
        <v>3168</v>
      </c>
      <c r="C128" s="263" t="s">
        <v>174</v>
      </c>
      <c r="D128" s="258" t="s">
        <v>442</v>
      </c>
      <c r="E128" s="259">
        <v>7000</v>
      </c>
      <c r="F128" s="259">
        <v>11.741164354495943</v>
      </c>
      <c r="G128" s="260">
        <v>596.19299999999998</v>
      </c>
      <c r="H128" s="261" t="s">
        <v>175</v>
      </c>
      <c r="I128" s="261" t="s">
        <v>359</v>
      </c>
      <c r="J128" s="261" t="s">
        <v>98</v>
      </c>
      <c r="K128" s="262" t="s">
        <v>1901</v>
      </c>
      <c r="L128" s="261" t="s">
        <v>2085</v>
      </c>
      <c r="M128" s="257"/>
      <c r="N128" s="257"/>
      <c r="O128" s="257"/>
    </row>
    <row r="129" spans="1:15" hidden="1">
      <c r="A129" s="256">
        <v>45683</v>
      </c>
      <c r="B129" s="257" t="s">
        <v>3177</v>
      </c>
      <c r="C129" s="263" t="s">
        <v>177</v>
      </c>
      <c r="D129" s="258" t="s">
        <v>442</v>
      </c>
      <c r="E129" s="259">
        <v>30000</v>
      </c>
      <c r="F129" s="259">
        <v>50.319275804982617</v>
      </c>
      <c r="G129" s="260">
        <v>596.19299999999998</v>
      </c>
      <c r="H129" s="261" t="s">
        <v>323</v>
      </c>
      <c r="I129" s="261" t="s">
        <v>360</v>
      </c>
      <c r="J129" s="261" t="s">
        <v>98</v>
      </c>
      <c r="K129" s="262" t="s">
        <v>1901</v>
      </c>
      <c r="L129" s="261" t="s">
        <v>2085</v>
      </c>
      <c r="M129" s="257"/>
      <c r="N129" s="257"/>
      <c r="O129" s="257"/>
    </row>
    <row r="130" spans="1:15" hidden="1">
      <c r="A130" s="256">
        <v>45683</v>
      </c>
      <c r="B130" s="257" t="s">
        <v>3178</v>
      </c>
      <c r="C130" s="263" t="s">
        <v>174</v>
      </c>
      <c r="D130" s="258" t="s">
        <v>442</v>
      </c>
      <c r="E130" s="259">
        <v>5000</v>
      </c>
      <c r="F130" s="259">
        <v>8.3865459674971028</v>
      </c>
      <c r="G130" s="260">
        <v>596.19299999999998</v>
      </c>
      <c r="H130" s="261" t="s">
        <v>323</v>
      </c>
      <c r="I130" s="261" t="s">
        <v>361</v>
      </c>
      <c r="J130" s="261" t="s">
        <v>98</v>
      </c>
      <c r="K130" s="262" t="s">
        <v>1901</v>
      </c>
      <c r="L130" s="261" t="s">
        <v>2085</v>
      </c>
      <c r="M130" s="257"/>
      <c r="N130" s="257"/>
      <c r="O130" s="257"/>
    </row>
    <row r="131" spans="1:15" hidden="1">
      <c r="A131" s="256">
        <v>45684</v>
      </c>
      <c r="B131" s="257" t="s">
        <v>362</v>
      </c>
      <c r="C131" s="257" t="s">
        <v>127</v>
      </c>
      <c r="D131" s="258" t="s">
        <v>117</v>
      </c>
      <c r="E131" s="259">
        <v>127070</v>
      </c>
      <c r="F131" s="259">
        <v>213.13567921797136</v>
      </c>
      <c r="G131" s="260">
        <v>596.19299999999998</v>
      </c>
      <c r="H131" s="261" t="s">
        <v>157</v>
      </c>
      <c r="I131" s="261" t="s">
        <v>363</v>
      </c>
      <c r="J131" s="261" t="s">
        <v>98</v>
      </c>
      <c r="K131" s="262" t="s">
        <v>1901</v>
      </c>
      <c r="L131" s="261" t="s">
        <v>2085</v>
      </c>
      <c r="M131" s="257"/>
      <c r="N131" s="257"/>
      <c r="O131" s="257"/>
    </row>
    <row r="132" spans="1:15" hidden="1">
      <c r="A132" s="256">
        <v>45684</v>
      </c>
      <c r="B132" s="257" t="s">
        <v>364</v>
      </c>
      <c r="C132" s="263" t="s">
        <v>365</v>
      </c>
      <c r="D132" s="258" t="s">
        <v>442</v>
      </c>
      <c r="E132" s="259">
        <v>17500</v>
      </c>
      <c r="F132" s="259">
        <v>30.690178266092612</v>
      </c>
      <c r="G132" s="260">
        <v>570.21500000000003</v>
      </c>
      <c r="H132" s="261" t="s">
        <v>317</v>
      </c>
      <c r="I132" s="261" t="s">
        <v>366</v>
      </c>
      <c r="J132" s="261" t="s">
        <v>98</v>
      </c>
      <c r="K132" s="262" t="s">
        <v>1901</v>
      </c>
      <c r="L132" s="261" t="s">
        <v>2085</v>
      </c>
      <c r="M132" s="257"/>
      <c r="N132" s="257"/>
      <c r="O132" s="257"/>
    </row>
    <row r="133" spans="1:15" hidden="1">
      <c r="A133" s="256">
        <v>45684</v>
      </c>
      <c r="B133" s="257" t="s">
        <v>367</v>
      </c>
      <c r="C133" s="263" t="s">
        <v>365</v>
      </c>
      <c r="D133" s="258" t="s">
        <v>442</v>
      </c>
      <c r="E133" s="259">
        <v>6000</v>
      </c>
      <c r="F133" s="259">
        <v>10.522346834088896</v>
      </c>
      <c r="G133" s="260">
        <v>570.21500000000003</v>
      </c>
      <c r="H133" s="261" t="s">
        <v>323</v>
      </c>
      <c r="I133" s="261" t="s">
        <v>369</v>
      </c>
      <c r="J133" s="261" t="s">
        <v>98</v>
      </c>
      <c r="K133" s="262" t="s">
        <v>1901</v>
      </c>
      <c r="L133" s="261" t="s">
        <v>2085</v>
      </c>
      <c r="M133" s="257"/>
      <c r="N133" s="257"/>
      <c r="O133" s="257"/>
    </row>
    <row r="134" spans="1:15" hidden="1">
      <c r="A134" s="256">
        <v>45684</v>
      </c>
      <c r="B134" s="257" t="s">
        <v>370</v>
      </c>
      <c r="C134" s="257" t="s">
        <v>127</v>
      </c>
      <c r="D134" s="258" t="s">
        <v>117</v>
      </c>
      <c r="E134" s="259">
        <v>30000</v>
      </c>
      <c r="F134" s="259">
        <v>50.319275804982617</v>
      </c>
      <c r="G134" s="260">
        <v>596.19299999999998</v>
      </c>
      <c r="H134" s="261" t="s">
        <v>197</v>
      </c>
      <c r="I134" s="261" t="s">
        <v>371</v>
      </c>
      <c r="J134" s="261" t="s">
        <v>98</v>
      </c>
      <c r="K134" s="262" t="s">
        <v>1901</v>
      </c>
      <c r="L134" s="261" t="s">
        <v>2085</v>
      </c>
      <c r="M134" s="257"/>
      <c r="N134" s="257"/>
      <c r="O134" s="257"/>
    </row>
    <row r="135" spans="1:15" hidden="1">
      <c r="A135" s="256">
        <v>45684</v>
      </c>
      <c r="B135" s="257" t="s">
        <v>372</v>
      </c>
      <c r="C135" s="257" t="s">
        <v>265</v>
      </c>
      <c r="D135" s="257" t="s">
        <v>2087</v>
      </c>
      <c r="E135" s="259">
        <v>30000</v>
      </c>
      <c r="F135" s="259">
        <v>52.611734170444478</v>
      </c>
      <c r="G135" s="260">
        <v>570.21500000000003</v>
      </c>
      <c r="H135" s="261" t="s">
        <v>197</v>
      </c>
      <c r="I135" s="261" t="s">
        <v>373</v>
      </c>
      <c r="J135" s="261" t="s">
        <v>98</v>
      </c>
      <c r="K135" s="262" t="s">
        <v>1901</v>
      </c>
      <c r="L135" s="261" t="s">
        <v>2085</v>
      </c>
      <c r="M135" s="257"/>
      <c r="N135" s="257"/>
      <c r="O135" s="257"/>
    </row>
    <row r="136" spans="1:15" hidden="1">
      <c r="A136" s="256">
        <v>45685</v>
      </c>
      <c r="B136" s="257" t="s">
        <v>374</v>
      </c>
      <c r="C136" s="257" t="s">
        <v>127</v>
      </c>
      <c r="D136" s="258" t="s">
        <v>119</v>
      </c>
      <c r="E136" s="259">
        <v>150000</v>
      </c>
      <c r="F136" s="259">
        <v>251.59637902491309</v>
      </c>
      <c r="G136" s="260">
        <v>596.19299999999998</v>
      </c>
      <c r="H136" s="261" t="s">
        <v>153</v>
      </c>
      <c r="I136" s="261" t="s">
        <v>375</v>
      </c>
      <c r="J136" s="261" t="s">
        <v>98</v>
      </c>
      <c r="K136" s="262" t="s">
        <v>1901</v>
      </c>
      <c r="L136" s="261" t="s">
        <v>2085</v>
      </c>
      <c r="M136" s="257"/>
      <c r="N136" s="257"/>
      <c r="O136" s="257"/>
    </row>
    <row r="137" spans="1:15" hidden="1">
      <c r="A137" s="256">
        <v>45685</v>
      </c>
      <c r="B137" s="257" t="s">
        <v>3179</v>
      </c>
      <c r="C137" s="263" t="s">
        <v>177</v>
      </c>
      <c r="D137" s="258" t="s">
        <v>442</v>
      </c>
      <c r="E137" s="259">
        <v>30000</v>
      </c>
      <c r="F137" s="259">
        <v>50.319275804982617</v>
      </c>
      <c r="G137" s="260">
        <v>596.19299999999998</v>
      </c>
      <c r="H137" s="261" t="s">
        <v>317</v>
      </c>
      <c r="I137" s="261" t="s">
        <v>376</v>
      </c>
      <c r="J137" s="261" t="s">
        <v>98</v>
      </c>
      <c r="K137" s="262" t="s">
        <v>1901</v>
      </c>
      <c r="L137" s="261" t="s">
        <v>2085</v>
      </c>
      <c r="M137" s="257"/>
      <c r="N137" s="257"/>
      <c r="O137" s="257"/>
    </row>
    <row r="138" spans="1:15" hidden="1">
      <c r="A138" s="256">
        <v>45685</v>
      </c>
      <c r="B138" s="257" t="s">
        <v>3066</v>
      </c>
      <c r="C138" s="263" t="s">
        <v>174</v>
      </c>
      <c r="D138" s="258" t="s">
        <v>442</v>
      </c>
      <c r="E138" s="259">
        <v>2000</v>
      </c>
      <c r="F138" s="259">
        <v>3.3546183869988409</v>
      </c>
      <c r="G138" s="260">
        <v>596.19299999999998</v>
      </c>
      <c r="H138" s="261" t="s">
        <v>317</v>
      </c>
      <c r="I138" s="261" t="s">
        <v>377</v>
      </c>
      <c r="J138" s="261" t="s">
        <v>98</v>
      </c>
      <c r="K138" s="262" t="s">
        <v>1901</v>
      </c>
      <c r="L138" s="261" t="s">
        <v>2085</v>
      </c>
      <c r="M138" s="257"/>
      <c r="N138" s="257"/>
      <c r="O138" s="257"/>
    </row>
    <row r="139" spans="1:15" hidden="1">
      <c r="A139" s="256">
        <v>45685</v>
      </c>
      <c r="B139" s="257" t="s">
        <v>3164</v>
      </c>
      <c r="C139" s="263" t="s">
        <v>177</v>
      </c>
      <c r="D139" s="258" t="s">
        <v>442</v>
      </c>
      <c r="E139" s="259">
        <v>30000</v>
      </c>
      <c r="F139" s="259">
        <v>50.319275804982617</v>
      </c>
      <c r="G139" s="260">
        <v>596.19299999999998</v>
      </c>
      <c r="H139" s="261" t="s">
        <v>184</v>
      </c>
      <c r="I139" s="261" t="s">
        <v>378</v>
      </c>
      <c r="J139" s="261" t="s">
        <v>98</v>
      </c>
      <c r="K139" s="262" t="s">
        <v>1901</v>
      </c>
      <c r="L139" s="261" t="s">
        <v>2085</v>
      </c>
      <c r="M139" s="257"/>
      <c r="N139" s="257"/>
      <c r="O139" s="257"/>
    </row>
    <row r="140" spans="1:15" hidden="1">
      <c r="A140" s="256">
        <v>45685</v>
      </c>
      <c r="B140" s="257" t="s">
        <v>3029</v>
      </c>
      <c r="C140" s="263" t="s">
        <v>174</v>
      </c>
      <c r="D140" s="258" t="s">
        <v>442</v>
      </c>
      <c r="E140" s="259">
        <v>5000</v>
      </c>
      <c r="F140" s="259">
        <v>8.3865459674971028</v>
      </c>
      <c r="G140" s="260">
        <v>596.19299999999998</v>
      </c>
      <c r="H140" s="261" t="s">
        <v>184</v>
      </c>
      <c r="I140" s="261" t="s">
        <v>379</v>
      </c>
      <c r="J140" s="261" t="s">
        <v>98</v>
      </c>
      <c r="K140" s="262" t="s">
        <v>1901</v>
      </c>
      <c r="L140" s="261" t="s">
        <v>2085</v>
      </c>
      <c r="M140" s="257"/>
      <c r="N140" s="257"/>
      <c r="O140" s="257"/>
    </row>
    <row r="141" spans="1:15" hidden="1">
      <c r="A141" s="256">
        <v>45685</v>
      </c>
      <c r="B141" s="257" t="s">
        <v>2992</v>
      </c>
      <c r="C141" s="263" t="s">
        <v>177</v>
      </c>
      <c r="D141" s="258" t="s">
        <v>442</v>
      </c>
      <c r="E141" s="259">
        <v>30000</v>
      </c>
      <c r="F141" s="259">
        <v>50.319275804982617</v>
      </c>
      <c r="G141" s="260">
        <v>596.19299999999998</v>
      </c>
      <c r="H141" s="261" t="s">
        <v>175</v>
      </c>
      <c r="I141" s="261" t="s">
        <v>380</v>
      </c>
      <c r="J141" s="261" t="s">
        <v>98</v>
      </c>
      <c r="K141" s="262" t="s">
        <v>1901</v>
      </c>
      <c r="L141" s="261" t="s">
        <v>2085</v>
      </c>
      <c r="M141" s="257"/>
      <c r="N141" s="257"/>
      <c r="O141" s="257"/>
    </row>
    <row r="142" spans="1:15" hidden="1">
      <c r="A142" s="256">
        <v>45685</v>
      </c>
      <c r="B142" s="257" t="s">
        <v>3180</v>
      </c>
      <c r="C142" s="263" t="s">
        <v>174</v>
      </c>
      <c r="D142" s="258" t="s">
        <v>442</v>
      </c>
      <c r="E142" s="259">
        <v>5000</v>
      </c>
      <c r="F142" s="259">
        <v>8.3865459674971028</v>
      </c>
      <c r="G142" s="260">
        <v>596.19299999999998</v>
      </c>
      <c r="H142" s="261" t="s">
        <v>175</v>
      </c>
      <c r="I142" s="261" t="s">
        <v>381</v>
      </c>
      <c r="J142" s="261" t="s">
        <v>98</v>
      </c>
      <c r="K142" s="262" t="s">
        <v>1901</v>
      </c>
      <c r="L142" s="261" t="s">
        <v>2085</v>
      </c>
      <c r="M142" s="257"/>
      <c r="N142" s="257"/>
      <c r="O142" s="257"/>
    </row>
    <row r="143" spans="1:15" hidden="1">
      <c r="A143" s="256">
        <v>45685</v>
      </c>
      <c r="B143" s="257" t="s">
        <v>3181</v>
      </c>
      <c r="C143" s="263" t="s">
        <v>177</v>
      </c>
      <c r="D143" s="258" t="s">
        <v>442</v>
      </c>
      <c r="E143" s="259">
        <v>30000</v>
      </c>
      <c r="F143" s="259">
        <v>50.319275804982617</v>
      </c>
      <c r="G143" s="260">
        <v>596.19299999999998</v>
      </c>
      <c r="H143" s="261" t="s">
        <v>323</v>
      </c>
      <c r="I143" s="261" t="s">
        <v>382</v>
      </c>
      <c r="J143" s="261" t="s">
        <v>98</v>
      </c>
      <c r="K143" s="262" t="s">
        <v>1901</v>
      </c>
      <c r="L143" s="261" t="s">
        <v>2085</v>
      </c>
      <c r="M143" s="257"/>
      <c r="N143" s="257"/>
      <c r="O143" s="257"/>
    </row>
    <row r="144" spans="1:15" hidden="1">
      <c r="A144" s="256">
        <v>45685</v>
      </c>
      <c r="B144" s="257" t="s">
        <v>3182</v>
      </c>
      <c r="C144" s="263" t="s">
        <v>174</v>
      </c>
      <c r="D144" s="258" t="s">
        <v>442</v>
      </c>
      <c r="E144" s="259">
        <v>5000</v>
      </c>
      <c r="F144" s="259">
        <v>8.3865459674971028</v>
      </c>
      <c r="G144" s="260">
        <v>596.19299999999998</v>
      </c>
      <c r="H144" s="261" t="s">
        <v>323</v>
      </c>
      <c r="I144" s="261" t="s">
        <v>383</v>
      </c>
      <c r="J144" s="261" t="s">
        <v>98</v>
      </c>
      <c r="K144" s="262" t="s">
        <v>1901</v>
      </c>
      <c r="L144" s="261" t="s">
        <v>2085</v>
      </c>
      <c r="M144" s="257"/>
      <c r="N144" s="257"/>
      <c r="O144" s="257"/>
    </row>
    <row r="145" spans="1:15" hidden="1">
      <c r="A145" s="256">
        <v>45685</v>
      </c>
      <c r="B145" s="257" t="s">
        <v>384</v>
      </c>
      <c r="C145" s="263" t="s">
        <v>1163</v>
      </c>
      <c r="D145" s="257" t="s">
        <v>118</v>
      </c>
      <c r="E145" s="259">
        <v>62500</v>
      </c>
      <c r="F145" s="259">
        <v>104.83182459371379</v>
      </c>
      <c r="G145" s="260">
        <v>596.19299999999998</v>
      </c>
      <c r="H145" s="261" t="s">
        <v>193</v>
      </c>
      <c r="I145" s="261" t="s">
        <v>385</v>
      </c>
      <c r="J145" s="261" t="s">
        <v>98</v>
      </c>
      <c r="K145" s="262" t="s">
        <v>1901</v>
      </c>
      <c r="L145" s="261" t="s">
        <v>2085</v>
      </c>
      <c r="M145" s="257"/>
      <c r="N145" s="257"/>
      <c r="O145" s="257"/>
    </row>
    <row r="146" spans="1:15" hidden="1">
      <c r="A146" s="256">
        <v>45685</v>
      </c>
      <c r="B146" s="257" t="s">
        <v>112</v>
      </c>
      <c r="C146" s="257" t="s">
        <v>128</v>
      </c>
      <c r="D146" s="257" t="s">
        <v>118</v>
      </c>
      <c r="E146" s="259">
        <v>10665</v>
      </c>
      <c r="F146" s="259">
        <v>17.888502548671319</v>
      </c>
      <c r="G146" s="260">
        <v>596.19299999999998</v>
      </c>
      <c r="H146" s="261" t="s">
        <v>148</v>
      </c>
      <c r="I146" s="261" t="s">
        <v>141</v>
      </c>
      <c r="J146" s="261" t="s">
        <v>98</v>
      </c>
      <c r="K146" s="262" t="s">
        <v>1901</v>
      </c>
      <c r="L146" s="261" t="s">
        <v>2085</v>
      </c>
      <c r="M146" s="257"/>
      <c r="N146" s="257"/>
      <c r="O146" s="257"/>
    </row>
    <row r="147" spans="1:15" hidden="1">
      <c r="A147" s="256">
        <v>45686</v>
      </c>
      <c r="B147" s="257" t="s">
        <v>386</v>
      </c>
      <c r="C147" s="263" t="s">
        <v>304</v>
      </c>
      <c r="D147" s="257" t="s">
        <v>118</v>
      </c>
      <c r="E147" s="259">
        <v>75625</v>
      </c>
      <c r="F147" s="259">
        <v>126.84650775839368</v>
      </c>
      <c r="G147" s="260">
        <v>596.19299999999998</v>
      </c>
      <c r="H147" s="261" t="s">
        <v>157</v>
      </c>
      <c r="I147" s="261" t="s">
        <v>387</v>
      </c>
      <c r="J147" s="261" t="s">
        <v>98</v>
      </c>
      <c r="K147" s="262" t="s">
        <v>1901</v>
      </c>
      <c r="L147" s="261" t="s">
        <v>2085</v>
      </c>
      <c r="M147" s="257"/>
      <c r="N147" s="257"/>
      <c r="O147" s="257"/>
    </row>
    <row r="148" spans="1:15" hidden="1">
      <c r="A148" s="256">
        <v>45686</v>
      </c>
      <c r="B148" s="257" t="s">
        <v>3183</v>
      </c>
      <c r="C148" s="263" t="s">
        <v>177</v>
      </c>
      <c r="D148" s="258" t="s">
        <v>442</v>
      </c>
      <c r="E148" s="259">
        <v>15000</v>
      </c>
      <c r="F148" s="259">
        <v>25.159637902491308</v>
      </c>
      <c r="G148" s="260">
        <v>596.19299999999998</v>
      </c>
      <c r="H148" s="261" t="s">
        <v>184</v>
      </c>
      <c r="I148" s="261" t="s">
        <v>388</v>
      </c>
      <c r="J148" s="261" t="s">
        <v>98</v>
      </c>
      <c r="K148" s="262" t="s">
        <v>1901</v>
      </c>
      <c r="L148" s="261" t="s">
        <v>2085</v>
      </c>
      <c r="M148" s="257"/>
      <c r="N148" s="257"/>
      <c r="O148" s="257"/>
    </row>
    <row r="149" spans="1:15" hidden="1">
      <c r="A149" s="256">
        <v>45686</v>
      </c>
      <c r="B149" s="257" t="s">
        <v>3029</v>
      </c>
      <c r="C149" s="263" t="s">
        <v>174</v>
      </c>
      <c r="D149" s="258" t="s">
        <v>442</v>
      </c>
      <c r="E149" s="259">
        <v>3000</v>
      </c>
      <c r="F149" s="259">
        <v>5.0319275804982615</v>
      </c>
      <c r="G149" s="260">
        <v>596.19299999999998</v>
      </c>
      <c r="H149" s="261" t="s">
        <v>184</v>
      </c>
      <c r="I149" s="261" t="s">
        <v>389</v>
      </c>
      <c r="J149" s="261" t="s">
        <v>98</v>
      </c>
      <c r="K149" s="262" t="s">
        <v>1901</v>
      </c>
      <c r="L149" s="261" t="s">
        <v>2085</v>
      </c>
      <c r="M149" s="257"/>
      <c r="N149" s="257"/>
      <c r="O149" s="257"/>
    </row>
    <row r="150" spans="1:15" hidden="1">
      <c r="A150" s="256">
        <v>45686</v>
      </c>
      <c r="B150" s="257" t="s">
        <v>390</v>
      </c>
      <c r="C150" s="263" t="s">
        <v>365</v>
      </c>
      <c r="D150" s="258" t="s">
        <v>442</v>
      </c>
      <c r="E150" s="259">
        <v>70200</v>
      </c>
      <c r="F150" s="259">
        <v>123.11145795884008</v>
      </c>
      <c r="G150" s="260">
        <v>570.21500000000003</v>
      </c>
      <c r="H150" s="261" t="s">
        <v>184</v>
      </c>
      <c r="I150" s="261" t="s">
        <v>391</v>
      </c>
      <c r="J150" s="261" t="s">
        <v>98</v>
      </c>
      <c r="K150" s="262" t="s">
        <v>1901</v>
      </c>
      <c r="L150" s="261" t="s">
        <v>2085</v>
      </c>
      <c r="M150" s="257"/>
      <c r="N150" s="257"/>
      <c r="O150" s="257"/>
    </row>
    <row r="151" spans="1:15" hidden="1">
      <c r="A151" s="256">
        <v>45686</v>
      </c>
      <c r="B151" s="257" t="s">
        <v>3184</v>
      </c>
      <c r="C151" s="263" t="s">
        <v>174</v>
      </c>
      <c r="D151" s="258" t="s">
        <v>442</v>
      </c>
      <c r="E151" s="259">
        <v>2500</v>
      </c>
      <c r="F151" s="259">
        <v>4.1932729837485514</v>
      </c>
      <c r="G151" s="260">
        <v>596.19299999999998</v>
      </c>
      <c r="H151" s="261" t="s">
        <v>175</v>
      </c>
      <c r="I151" s="261" t="s">
        <v>392</v>
      </c>
      <c r="J151" s="261" t="s">
        <v>98</v>
      </c>
      <c r="K151" s="262" t="s">
        <v>1901</v>
      </c>
      <c r="L151" s="261" t="s">
        <v>2085</v>
      </c>
      <c r="M151" s="257"/>
      <c r="N151" s="257"/>
      <c r="O151" s="257"/>
    </row>
    <row r="152" spans="1:15" hidden="1">
      <c r="A152" s="256">
        <v>45686</v>
      </c>
      <c r="B152" s="257" t="s">
        <v>3082</v>
      </c>
      <c r="C152" s="263" t="s">
        <v>177</v>
      </c>
      <c r="D152" s="258" t="s">
        <v>442</v>
      </c>
      <c r="E152" s="259">
        <v>15000</v>
      </c>
      <c r="F152" s="259">
        <v>25.159637902491308</v>
      </c>
      <c r="G152" s="260">
        <v>596.19299999999998</v>
      </c>
      <c r="H152" s="261" t="s">
        <v>175</v>
      </c>
      <c r="I152" s="261" t="s">
        <v>393</v>
      </c>
      <c r="J152" s="261" t="s">
        <v>98</v>
      </c>
      <c r="K152" s="262" t="s">
        <v>1901</v>
      </c>
      <c r="L152" s="261" t="s">
        <v>2085</v>
      </c>
      <c r="M152" s="257"/>
      <c r="N152" s="257"/>
      <c r="O152" s="257"/>
    </row>
    <row r="153" spans="1:15" hidden="1">
      <c r="A153" s="256">
        <v>45686</v>
      </c>
      <c r="B153" s="257" t="s">
        <v>394</v>
      </c>
      <c r="C153" s="263" t="s">
        <v>365</v>
      </c>
      <c r="D153" s="258" t="s">
        <v>442</v>
      </c>
      <c r="E153" s="259">
        <v>32000</v>
      </c>
      <c r="F153" s="259">
        <v>56.119183115140778</v>
      </c>
      <c r="G153" s="260">
        <v>570.21500000000003</v>
      </c>
      <c r="H153" s="261" t="s">
        <v>175</v>
      </c>
      <c r="I153" s="261" t="s">
        <v>395</v>
      </c>
      <c r="J153" s="261" t="s">
        <v>98</v>
      </c>
      <c r="K153" s="262" t="s">
        <v>1901</v>
      </c>
      <c r="L153" s="261" t="s">
        <v>2085</v>
      </c>
      <c r="M153" s="257"/>
      <c r="N153" s="257"/>
      <c r="O153" s="257"/>
    </row>
    <row r="154" spans="1:15" hidden="1">
      <c r="A154" s="256">
        <v>45686</v>
      </c>
      <c r="B154" s="257" t="s">
        <v>3185</v>
      </c>
      <c r="C154" s="263" t="s">
        <v>177</v>
      </c>
      <c r="D154" s="258" t="s">
        <v>442</v>
      </c>
      <c r="E154" s="259">
        <v>15000</v>
      </c>
      <c r="F154" s="259">
        <v>25.159637902491308</v>
      </c>
      <c r="G154" s="260">
        <v>596.19299999999998</v>
      </c>
      <c r="H154" s="261" t="s">
        <v>323</v>
      </c>
      <c r="I154" s="261" t="s">
        <v>396</v>
      </c>
      <c r="J154" s="261" t="s">
        <v>98</v>
      </c>
      <c r="K154" s="262" t="s">
        <v>1901</v>
      </c>
      <c r="L154" s="261" t="s">
        <v>2085</v>
      </c>
      <c r="M154" s="257"/>
      <c r="N154" s="257"/>
      <c r="O154" s="257"/>
    </row>
    <row r="155" spans="1:15" hidden="1">
      <c r="A155" s="256">
        <v>45686</v>
      </c>
      <c r="B155" s="257" t="s">
        <v>3186</v>
      </c>
      <c r="C155" s="263" t="s">
        <v>174</v>
      </c>
      <c r="D155" s="258" t="s">
        <v>442</v>
      </c>
      <c r="E155" s="259">
        <v>3000</v>
      </c>
      <c r="F155" s="259">
        <v>5.0319275804982615</v>
      </c>
      <c r="G155" s="260">
        <v>596.19299999999998</v>
      </c>
      <c r="H155" s="261" t="s">
        <v>323</v>
      </c>
      <c r="I155" s="261" t="s">
        <v>397</v>
      </c>
      <c r="J155" s="261" t="s">
        <v>98</v>
      </c>
      <c r="K155" s="262" t="s">
        <v>1901</v>
      </c>
      <c r="L155" s="261" t="s">
        <v>2085</v>
      </c>
      <c r="M155" s="257"/>
      <c r="N155" s="257"/>
      <c r="O155" s="257"/>
    </row>
    <row r="156" spans="1:15" hidden="1">
      <c r="A156" s="256">
        <v>45686</v>
      </c>
      <c r="B156" s="257" t="s">
        <v>3187</v>
      </c>
      <c r="C156" s="263" t="s">
        <v>177</v>
      </c>
      <c r="D156" s="258" t="s">
        <v>442</v>
      </c>
      <c r="E156" s="259">
        <v>15000</v>
      </c>
      <c r="F156" s="259">
        <v>25.159637902491308</v>
      </c>
      <c r="G156" s="260">
        <v>596.19299999999998</v>
      </c>
      <c r="H156" s="261" t="s">
        <v>323</v>
      </c>
      <c r="I156" s="261" t="s">
        <v>398</v>
      </c>
      <c r="J156" s="261" t="s">
        <v>98</v>
      </c>
      <c r="K156" s="262" t="s">
        <v>1901</v>
      </c>
      <c r="L156" s="261" t="s">
        <v>2085</v>
      </c>
      <c r="M156" s="257"/>
      <c r="N156" s="257"/>
      <c r="O156" s="257"/>
    </row>
    <row r="157" spans="1:15" hidden="1">
      <c r="A157" s="256">
        <v>45687</v>
      </c>
      <c r="B157" s="257" t="s">
        <v>3188</v>
      </c>
      <c r="C157" s="263" t="s">
        <v>177</v>
      </c>
      <c r="D157" s="258" t="s">
        <v>442</v>
      </c>
      <c r="E157" s="259">
        <v>30000</v>
      </c>
      <c r="F157" s="259">
        <v>50.319275804982617</v>
      </c>
      <c r="G157" s="260">
        <v>596.19299999999998</v>
      </c>
      <c r="H157" s="261" t="s">
        <v>317</v>
      </c>
      <c r="I157" s="261" t="s">
        <v>399</v>
      </c>
      <c r="J157" s="261" t="s">
        <v>98</v>
      </c>
      <c r="K157" s="262" t="s">
        <v>1901</v>
      </c>
      <c r="L157" s="261" t="s">
        <v>2085</v>
      </c>
      <c r="M157" s="257"/>
      <c r="N157" s="257"/>
      <c r="O157" s="257"/>
    </row>
    <row r="158" spans="1:15" hidden="1">
      <c r="A158" s="256">
        <v>45687</v>
      </c>
      <c r="B158" s="257" t="s">
        <v>3066</v>
      </c>
      <c r="C158" s="263" t="s">
        <v>174</v>
      </c>
      <c r="D158" s="258" t="s">
        <v>442</v>
      </c>
      <c r="E158" s="259">
        <v>7000</v>
      </c>
      <c r="F158" s="259">
        <v>11.741164354495943</v>
      </c>
      <c r="G158" s="260">
        <v>596.19299999999998</v>
      </c>
      <c r="H158" s="261" t="s">
        <v>317</v>
      </c>
      <c r="I158" s="261" t="s">
        <v>400</v>
      </c>
      <c r="J158" s="261" t="s">
        <v>98</v>
      </c>
      <c r="K158" s="262" t="s">
        <v>1901</v>
      </c>
      <c r="L158" s="261" t="s">
        <v>2085</v>
      </c>
      <c r="M158" s="257"/>
      <c r="N158" s="257"/>
      <c r="O158" s="257"/>
    </row>
    <row r="159" spans="1:15" hidden="1">
      <c r="A159" s="256">
        <v>45687</v>
      </c>
      <c r="B159" s="257" t="s">
        <v>401</v>
      </c>
      <c r="C159" s="263" t="s">
        <v>174</v>
      </c>
      <c r="D159" s="258" t="s">
        <v>442</v>
      </c>
      <c r="E159" s="259">
        <v>39300</v>
      </c>
      <c r="F159" s="259">
        <v>65.918251304527232</v>
      </c>
      <c r="G159" s="260">
        <v>596.19299999999998</v>
      </c>
      <c r="H159" s="261" t="s">
        <v>317</v>
      </c>
      <c r="I159" s="261" t="s">
        <v>402</v>
      </c>
      <c r="J159" s="261" t="s">
        <v>98</v>
      </c>
      <c r="K159" s="262" t="s">
        <v>1901</v>
      </c>
      <c r="L159" s="261" t="s">
        <v>2085</v>
      </c>
      <c r="M159" s="257"/>
      <c r="N159" s="257"/>
      <c r="O159" s="257"/>
    </row>
    <row r="160" spans="1:15" hidden="1">
      <c r="A160" s="256">
        <v>45687</v>
      </c>
      <c r="B160" s="257" t="s">
        <v>3076</v>
      </c>
      <c r="C160" s="263" t="s">
        <v>174</v>
      </c>
      <c r="D160" s="258" t="s">
        <v>442</v>
      </c>
      <c r="E160" s="259">
        <v>7000</v>
      </c>
      <c r="F160" s="259">
        <v>11.741164354495943</v>
      </c>
      <c r="G160" s="260">
        <v>596.19299999999998</v>
      </c>
      <c r="H160" s="261" t="s">
        <v>184</v>
      </c>
      <c r="I160" s="261" t="s">
        <v>403</v>
      </c>
      <c r="J160" s="261" t="s">
        <v>98</v>
      </c>
      <c r="K160" s="262" t="s">
        <v>1901</v>
      </c>
      <c r="L160" s="261" t="s">
        <v>2085</v>
      </c>
      <c r="M160" s="257"/>
      <c r="N160" s="257"/>
      <c r="O160" s="257"/>
    </row>
    <row r="161" spans="1:15" hidden="1">
      <c r="A161" s="256">
        <v>45687</v>
      </c>
      <c r="B161" s="257" t="s">
        <v>3164</v>
      </c>
      <c r="C161" s="263" t="s">
        <v>177</v>
      </c>
      <c r="D161" s="258" t="s">
        <v>442</v>
      </c>
      <c r="E161" s="259">
        <v>15000</v>
      </c>
      <c r="F161" s="259">
        <v>25.159637902491308</v>
      </c>
      <c r="G161" s="260">
        <v>596.19299999999998</v>
      </c>
      <c r="H161" s="261" t="s">
        <v>184</v>
      </c>
      <c r="I161" s="261" t="s">
        <v>404</v>
      </c>
      <c r="J161" s="261" t="s">
        <v>98</v>
      </c>
      <c r="K161" s="262" t="s">
        <v>1901</v>
      </c>
      <c r="L161" s="261" t="s">
        <v>2085</v>
      </c>
      <c r="M161" s="257"/>
      <c r="N161" s="257"/>
      <c r="O161" s="257"/>
    </row>
    <row r="162" spans="1:15" hidden="1">
      <c r="A162" s="256">
        <v>45687</v>
      </c>
      <c r="B162" s="257" t="s">
        <v>405</v>
      </c>
      <c r="C162" s="263" t="s">
        <v>174</v>
      </c>
      <c r="D162" s="258" t="s">
        <v>442</v>
      </c>
      <c r="E162" s="259">
        <v>54800</v>
      </c>
      <c r="F162" s="259">
        <v>91.916543803768249</v>
      </c>
      <c r="G162" s="260">
        <v>596.19299999999998</v>
      </c>
      <c r="H162" s="261" t="s">
        <v>184</v>
      </c>
      <c r="I162" s="261" t="s">
        <v>406</v>
      </c>
      <c r="J162" s="261" t="s">
        <v>98</v>
      </c>
      <c r="K162" s="262" t="s">
        <v>1901</v>
      </c>
      <c r="L162" s="261" t="s">
        <v>2085</v>
      </c>
      <c r="M162" s="257"/>
      <c r="N162" s="257"/>
      <c r="O162" s="257"/>
    </row>
    <row r="163" spans="1:15" hidden="1">
      <c r="A163" s="256">
        <v>45687</v>
      </c>
      <c r="B163" s="257" t="s">
        <v>2992</v>
      </c>
      <c r="C163" s="263" t="s">
        <v>177</v>
      </c>
      <c r="D163" s="258" t="s">
        <v>442</v>
      </c>
      <c r="E163" s="259">
        <v>15000</v>
      </c>
      <c r="F163" s="259">
        <v>25.159637902491308</v>
      </c>
      <c r="G163" s="260">
        <v>596.19299999999998</v>
      </c>
      <c r="H163" s="261" t="s">
        <v>175</v>
      </c>
      <c r="I163" s="261" t="s">
        <v>407</v>
      </c>
      <c r="J163" s="261" t="s">
        <v>98</v>
      </c>
      <c r="K163" s="262" t="s">
        <v>1901</v>
      </c>
      <c r="L163" s="261" t="s">
        <v>2085</v>
      </c>
      <c r="M163" s="257"/>
      <c r="N163" s="257"/>
      <c r="O163" s="257"/>
    </row>
    <row r="164" spans="1:15" hidden="1">
      <c r="A164" s="256">
        <v>45687</v>
      </c>
      <c r="B164" s="257" t="s">
        <v>3189</v>
      </c>
      <c r="C164" s="263" t="s">
        <v>174</v>
      </c>
      <c r="D164" s="258" t="s">
        <v>442</v>
      </c>
      <c r="E164" s="259">
        <v>8000</v>
      </c>
      <c r="F164" s="259">
        <v>13.418473547995363</v>
      </c>
      <c r="G164" s="260">
        <v>596.19299999999998</v>
      </c>
      <c r="H164" s="261" t="s">
        <v>175</v>
      </c>
      <c r="I164" s="261" t="s">
        <v>408</v>
      </c>
      <c r="J164" s="261" t="s">
        <v>98</v>
      </c>
      <c r="K164" s="262" t="s">
        <v>1901</v>
      </c>
      <c r="L164" s="261" t="s">
        <v>2085</v>
      </c>
      <c r="M164" s="257"/>
      <c r="N164" s="257"/>
      <c r="O164" s="257"/>
    </row>
    <row r="165" spans="1:15" hidden="1">
      <c r="A165" s="256">
        <v>45687</v>
      </c>
      <c r="B165" s="257" t="s">
        <v>409</v>
      </c>
      <c r="C165" s="263" t="s">
        <v>174</v>
      </c>
      <c r="D165" s="258" t="s">
        <v>442</v>
      </c>
      <c r="E165" s="259">
        <v>63400</v>
      </c>
      <c r="F165" s="259">
        <v>106.34140286786327</v>
      </c>
      <c r="G165" s="260">
        <v>596.19299999999998</v>
      </c>
      <c r="H165" s="261" t="s">
        <v>175</v>
      </c>
      <c r="I165" s="261" t="s">
        <v>410</v>
      </c>
      <c r="J165" s="261" t="s">
        <v>98</v>
      </c>
      <c r="K165" s="262" t="s">
        <v>1901</v>
      </c>
      <c r="L165" s="261" t="s">
        <v>2085</v>
      </c>
      <c r="M165" s="257"/>
      <c r="N165" s="257"/>
      <c r="O165" s="257"/>
    </row>
    <row r="166" spans="1:15" hidden="1">
      <c r="A166" s="256">
        <v>45687</v>
      </c>
      <c r="B166" s="257" t="s">
        <v>3178</v>
      </c>
      <c r="C166" s="263" t="s">
        <v>174</v>
      </c>
      <c r="D166" s="258" t="s">
        <v>442</v>
      </c>
      <c r="E166" s="259">
        <v>8000</v>
      </c>
      <c r="F166" s="259">
        <v>13.418473547995363</v>
      </c>
      <c r="G166" s="260">
        <v>596.19299999999998</v>
      </c>
      <c r="H166" s="261" t="s">
        <v>323</v>
      </c>
      <c r="I166" s="261" t="s">
        <v>411</v>
      </c>
      <c r="J166" s="261" t="s">
        <v>98</v>
      </c>
      <c r="K166" s="262" t="s">
        <v>1901</v>
      </c>
      <c r="L166" s="261" t="s">
        <v>2085</v>
      </c>
      <c r="M166" s="257"/>
      <c r="N166" s="257"/>
      <c r="O166" s="257"/>
    </row>
    <row r="167" spans="1:15" hidden="1">
      <c r="A167" s="256">
        <v>45687</v>
      </c>
      <c r="B167" s="257" t="s">
        <v>412</v>
      </c>
      <c r="C167" s="263" t="s">
        <v>174</v>
      </c>
      <c r="D167" s="258" t="s">
        <v>442</v>
      </c>
      <c r="E167" s="259">
        <v>38500</v>
      </c>
      <c r="F167" s="259">
        <v>64.576403949727691</v>
      </c>
      <c r="G167" s="260">
        <v>596.19299999999998</v>
      </c>
      <c r="H167" s="261" t="s">
        <v>323</v>
      </c>
      <c r="I167" s="261" t="s">
        <v>413</v>
      </c>
      <c r="J167" s="261" t="s">
        <v>98</v>
      </c>
      <c r="K167" s="262" t="s">
        <v>1901</v>
      </c>
      <c r="L167" s="261" t="s">
        <v>2085</v>
      </c>
      <c r="M167" s="257"/>
      <c r="N167" s="257"/>
      <c r="O167" s="257"/>
    </row>
    <row r="168" spans="1:15" hidden="1">
      <c r="A168" s="256">
        <v>45687</v>
      </c>
      <c r="B168" s="257" t="s">
        <v>414</v>
      </c>
      <c r="C168" s="263" t="s">
        <v>174</v>
      </c>
      <c r="D168" s="258" t="s">
        <v>117</v>
      </c>
      <c r="E168" s="259">
        <v>33500</v>
      </c>
      <c r="F168" s="259">
        <v>56.189857982230585</v>
      </c>
      <c r="G168" s="260">
        <v>596.19299999999998</v>
      </c>
      <c r="H168" s="261" t="s">
        <v>193</v>
      </c>
      <c r="I168" s="261" t="s">
        <v>415</v>
      </c>
      <c r="J168" s="261" t="s">
        <v>98</v>
      </c>
      <c r="K168" s="262" t="s">
        <v>1901</v>
      </c>
      <c r="L168" s="261" t="s">
        <v>2085</v>
      </c>
      <c r="M168" s="257"/>
      <c r="N168" s="257"/>
      <c r="O168" s="257"/>
    </row>
    <row r="169" spans="1:15" hidden="1">
      <c r="A169" s="256">
        <v>45687</v>
      </c>
      <c r="B169" s="257" t="s">
        <v>416</v>
      </c>
      <c r="C169" s="263" t="s">
        <v>174</v>
      </c>
      <c r="D169" s="257" t="s">
        <v>120</v>
      </c>
      <c r="E169" s="259">
        <v>24500</v>
      </c>
      <c r="F169" s="259">
        <v>41.094075240735805</v>
      </c>
      <c r="G169" s="260">
        <v>596.19299999999998</v>
      </c>
      <c r="H169" s="261" t="s">
        <v>213</v>
      </c>
      <c r="I169" s="261" t="s">
        <v>417</v>
      </c>
      <c r="J169" s="261" t="s">
        <v>98</v>
      </c>
      <c r="K169" s="262" t="s">
        <v>1901</v>
      </c>
      <c r="L169" s="261" t="s">
        <v>2085</v>
      </c>
      <c r="M169" s="257"/>
      <c r="N169" s="257"/>
      <c r="O169" s="257"/>
    </row>
    <row r="170" spans="1:15" hidden="1">
      <c r="A170" s="256">
        <v>45687</v>
      </c>
      <c r="B170" s="257" t="s">
        <v>418</v>
      </c>
      <c r="C170" s="263" t="s">
        <v>2088</v>
      </c>
      <c r="D170" s="257" t="s">
        <v>120</v>
      </c>
      <c r="E170" s="259">
        <v>148000</v>
      </c>
      <c r="F170" s="259">
        <v>248.24176063791424</v>
      </c>
      <c r="G170" s="260">
        <v>596.19299999999998</v>
      </c>
      <c r="H170" s="261" t="s">
        <v>213</v>
      </c>
      <c r="I170" s="261" t="s">
        <v>419</v>
      </c>
      <c r="J170" s="261" t="s">
        <v>98</v>
      </c>
      <c r="K170" s="262" t="s">
        <v>1901</v>
      </c>
      <c r="L170" s="261" t="s">
        <v>2085</v>
      </c>
      <c r="M170" s="257"/>
      <c r="N170" s="257"/>
      <c r="O170" s="257"/>
    </row>
    <row r="171" spans="1:15" hidden="1">
      <c r="A171" s="256">
        <v>45688</v>
      </c>
      <c r="B171" s="257" t="s">
        <v>420</v>
      </c>
      <c r="C171" s="263" t="s">
        <v>174</v>
      </c>
      <c r="D171" s="258" t="s">
        <v>119</v>
      </c>
      <c r="E171" s="259">
        <v>25500</v>
      </c>
      <c r="F171" s="259">
        <v>42.771384434235223</v>
      </c>
      <c r="G171" s="260">
        <v>596.19299999999998</v>
      </c>
      <c r="H171" s="261" t="s">
        <v>153</v>
      </c>
      <c r="I171" s="261" t="s">
        <v>421</v>
      </c>
      <c r="J171" s="261" t="s">
        <v>98</v>
      </c>
      <c r="K171" s="262" t="s">
        <v>1901</v>
      </c>
      <c r="L171" s="261" t="s">
        <v>2085</v>
      </c>
      <c r="M171" s="257"/>
      <c r="N171" s="257"/>
      <c r="O171" s="257"/>
    </row>
    <row r="172" spans="1:15" hidden="1">
      <c r="A172" s="256">
        <v>45688</v>
      </c>
      <c r="B172" s="257" t="s">
        <v>422</v>
      </c>
      <c r="C172" s="257" t="s">
        <v>423</v>
      </c>
      <c r="D172" s="258" t="s">
        <v>119</v>
      </c>
      <c r="E172" s="259">
        <v>174625</v>
      </c>
      <c r="F172" s="259">
        <v>292.9001179148363</v>
      </c>
      <c r="G172" s="260">
        <v>596.19299999999998</v>
      </c>
      <c r="H172" s="261" t="s">
        <v>153</v>
      </c>
      <c r="I172" s="261" t="s">
        <v>424</v>
      </c>
      <c r="J172" s="261" t="s">
        <v>98</v>
      </c>
      <c r="K172" s="262" t="s">
        <v>1901</v>
      </c>
      <c r="L172" s="261" t="s">
        <v>2085</v>
      </c>
      <c r="M172" s="257"/>
      <c r="N172" s="257"/>
      <c r="O172" s="257"/>
    </row>
    <row r="173" spans="1:15" hidden="1">
      <c r="A173" s="256">
        <v>45688</v>
      </c>
      <c r="B173" s="257" t="s">
        <v>425</v>
      </c>
      <c r="C173" s="263" t="s">
        <v>174</v>
      </c>
      <c r="D173" s="257" t="s">
        <v>118</v>
      </c>
      <c r="E173" s="259">
        <v>41000</v>
      </c>
      <c r="F173" s="259">
        <v>68.769676933476248</v>
      </c>
      <c r="G173" s="260">
        <v>596.19299999999998</v>
      </c>
      <c r="H173" s="261" t="s">
        <v>157</v>
      </c>
      <c r="I173" s="261" t="s">
        <v>426</v>
      </c>
      <c r="J173" s="261" t="s">
        <v>98</v>
      </c>
      <c r="K173" s="262" t="s">
        <v>1901</v>
      </c>
      <c r="L173" s="261" t="s">
        <v>2085</v>
      </c>
      <c r="M173" s="257"/>
      <c r="N173" s="257"/>
      <c r="O173" s="257"/>
    </row>
    <row r="174" spans="1:15" hidden="1">
      <c r="A174" s="256">
        <v>45688</v>
      </c>
      <c r="B174" s="257" t="s">
        <v>427</v>
      </c>
      <c r="C174" s="263" t="s">
        <v>304</v>
      </c>
      <c r="D174" s="257" t="s">
        <v>118</v>
      </c>
      <c r="E174" s="259">
        <v>6000</v>
      </c>
      <c r="F174" s="259">
        <v>10.063855160996523</v>
      </c>
      <c r="G174" s="260">
        <v>596.19299999999998</v>
      </c>
      <c r="H174" s="261" t="s">
        <v>157</v>
      </c>
      <c r="I174" s="261" t="s">
        <v>428</v>
      </c>
      <c r="J174" s="261" t="s">
        <v>98</v>
      </c>
      <c r="K174" s="262" t="s">
        <v>1901</v>
      </c>
      <c r="L174" s="261" t="s">
        <v>2085</v>
      </c>
      <c r="M174" s="257"/>
      <c r="N174" s="257"/>
      <c r="O174" s="257"/>
    </row>
    <row r="175" spans="1:15" hidden="1">
      <c r="A175" s="256">
        <v>45688</v>
      </c>
      <c r="B175" s="257" t="s">
        <v>429</v>
      </c>
      <c r="C175" s="257" t="s">
        <v>430</v>
      </c>
      <c r="D175" s="257" t="s">
        <v>118</v>
      </c>
      <c r="E175" s="259">
        <v>45050</v>
      </c>
      <c r="F175" s="259">
        <v>75.562779167148889</v>
      </c>
      <c r="G175" s="260">
        <v>596.19299999999998</v>
      </c>
      <c r="H175" s="261" t="s">
        <v>157</v>
      </c>
      <c r="I175" s="261" t="s">
        <v>431</v>
      </c>
      <c r="J175" s="261" t="s">
        <v>98</v>
      </c>
      <c r="K175" s="262" t="s">
        <v>1901</v>
      </c>
      <c r="L175" s="261" t="s">
        <v>2085</v>
      </c>
      <c r="M175" s="257"/>
      <c r="N175" s="257"/>
      <c r="O175" s="257"/>
    </row>
    <row r="176" spans="1:15" hidden="1">
      <c r="A176" s="256">
        <v>45688</v>
      </c>
      <c r="B176" s="257" t="s">
        <v>432</v>
      </c>
      <c r="C176" s="263" t="s">
        <v>174</v>
      </c>
      <c r="D176" s="258" t="s">
        <v>117</v>
      </c>
      <c r="E176" s="259">
        <v>38000</v>
      </c>
      <c r="F176" s="259">
        <v>63.737749352977978</v>
      </c>
      <c r="G176" s="260">
        <v>596.19299999999998</v>
      </c>
      <c r="H176" s="261" t="s">
        <v>187</v>
      </c>
      <c r="I176" s="261" t="s">
        <v>433</v>
      </c>
      <c r="J176" s="261" t="s">
        <v>98</v>
      </c>
      <c r="K176" s="262" t="s">
        <v>1901</v>
      </c>
      <c r="L176" s="261" t="s">
        <v>2085</v>
      </c>
      <c r="M176" s="257"/>
      <c r="N176" s="257"/>
      <c r="O176" s="257"/>
    </row>
    <row r="177" spans="1:15" hidden="1">
      <c r="A177" s="256">
        <v>45688</v>
      </c>
      <c r="B177" s="257" t="s">
        <v>434</v>
      </c>
      <c r="C177" s="257" t="s">
        <v>435</v>
      </c>
      <c r="D177" s="257" t="s">
        <v>118</v>
      </c>
      <c r="E177" s="259">
        <v>50000</v>
      </c>
      <c r="F177" s="259">
        <v>83.865459674971021</v>
      </c>
      <c r="G177" s="260">
        <v>596.19299999999998</v>
      </c>
      <c r="H177" s="261" t="s">
        <v>190</v>
      </c>
      <c r="I177" s="261" t="s">
        <v>436</v>
      </c>
      <c r="J177" s="261" t="s">
        <v>98</v>
      </c>
      <c r="K177" s="262" t="s">
        <v>1901</v>
      </c>
      <c r="L177" s="261" t="s">
        <v>2085</v>
      </c>
      <c r="M177" s="257"/>
      <c r="N177" s="257"/>
      <c r="O177" s="257"/>
    </row>
    <row r="178" spans="1:15" hidden="1">
      <c r="A178" s="256">
        <v>45688</v>
      </c>
      <c r="B178" s="257" t="s">
        <v>113</v>
      </c>
      <c r="C178" s="257" t="s">
        <v>127</v>
      </c>
      <c r="D178" s="258" t="s">
        <v>442</v>
      </c>
      <c r="E178" s="259">
        <v>255000</v>
      </c>
      <c r="F178" s="259">
        <v>427.71384434235222</v>
      </c>
      <c r="G178" s="260">
        <v>596.19299999999998</v>
      </c>
      <c r="H178" s="261" t="s">
        <v>148</v>
      </c>
      <c r="I178" s="261" t="s">
        <v>144</v>
      </c>
      <c r="J178" s="261" t="s">
        <v>98</v>
      </c>
      <c r="K178" s="262" t="s">
        <v>1901</v>
      </c>
      <c r="L178" s="261" t="s">
        <v>2085</v>
      </c>
      <c r="M178" s="257"/>
      <c r="N178" s="257"/>
      <c r="O178" s="257"/>
    </row>
    <row r="179" spans="1:15" hidden="1">
      <c r="A179" s="256">
        <v>45688</v>
      </c>
      <c r="B179" s="257" t="s">
        <v>114</v>
      </c>
      <c r="C179" s="257" t="s">
        <v>127</v>
      </c>
      <c r="D179" s="258" t="s">
        <v>442</v>
      </c>
      <c r="E179" s="259">
        <v>335000</v>
      </c>
      <c r="F179" s="259">
        <v>561.89857982230592</v>
      </c>
      <c r="G179" s="260">
        <v>596.19299999999998</v>
      </c>
      <c r="H179" s="261" t="s">
        <v>148</v>
      </c>
      <c r="I179" s="261" t="s">
        <v>145</v>
      </c>
      <c r="J179" s="261" t="s">
        <v>98</v>
      </c>
      <c r="K179" s="262" t="s">
        <v>1901</v>
      </c>
      <c r="L179" s="261" t="s">
        <v>2085</v>
      </c>
      <c r="M179" s="257"/>
      <c r="N179" s="257"/>
      <c r="O179" s="257"/>
    </row>
    <row r="180" spans="1:15" hidden="1">
      <c r="A180" s="256">
        <v>45688</v>
      </c>
      <c r="B180" s="257" t="s">
        <v>115</v>
      </c>
      <c r="C180" s="257" t="s">
        <v>127</v>
      </c>
      <c r="D180" s="258" t="s">
        <v>442</v>
      </c>
      <c r="E180" s="259">
        <v>400000</v>
      </c>
      <c r="F180" s="259">
        <v>670.92367739976817</v>
      </c>
      <c r="G180" s="260">
        <v>596.19299999999998</v>
      </c>
      <c r="H180" s="261" t="s">
        <v>148</v>
      </c>
      <c r="I180" s="261" t="s">
        <v>146</v>
      </c>
      <c r="J180" s="261" t="s">
        <v>98</v>
      </c>
      <c r="K180" s="262" t="s">
        <v>1901</v>
      </c>
      <c r="L180" s="261" t="s">
        <v>2085</v>
      </c>
      <c r="M180" s="257"/>
      <c r="N180" s="257"/>
      <c r="O180" s="257"/>
    </row>
    <row r="181" spans="1:15" hidden="1">
      <c r="A181" s="256">
        <v>45688</v>
      </c>
      <c r="B181" s="257" t="s">
        <v>116</v>
      </c>
      <c r="C181" s="257" t="s">
        <v>127</v>
      </c>
      <c r="D181" s="258" t="s">
        <v>442</v>
      </c>
      <c r="E181" s="259">
        <v>255000</v>
      </c>
      <c r="F181" s="259">
        <v>427.71384434235222</v>
      </c>
      <c r="G181" s="260">
        <v>596.19299999999998</v>
      </c>
      <c r="H181" s="261" t="s">
        <v>148</v>
      </c>
      <c r="I181" s="261" t="s">
        <v>147</v>
      </c>
      <c r="J181" s="261" t="s">
        <v>98</v>
      </c>
      <c r="K181" s="262" t="s">
        <v>1901</v>
      </c>
      <c r="L181" s="261" t="s">
        <v>2085</v>
      </c>
      <c r="M181" s="257"/>
      <c r="N181" s="257"/>
      <c r="O181" s="257"/>
    </row>
    <row r="182" spans="1:15" hidden="1">
      <c r="A182" s="256">
        <v>45691</v>
      </c>
      <c r="B182" s="257" t="s">
        <v>534</v>
      </c>
      <c r="C182" s="257" t="s">
        <v>152</v>
      </c>
      <c r="D182" s="258" t="s">
        <v>119</v>
      </c>
      <c r="E182" s="259">
        <v>42000</v>
      </c>
      <c r="F182" s="259">
        <v>70.446986126975659</v>
      </c>
      <c r="G182" s="260">
        <v>579.25099999999998</v>
      </c>
      <c r="H182" s="261" t="s">
        <v>157</v>
      </c>
      <c r="I182" s="261" t="s">
        <v>535</v>
      </c>
      <c r="J182" s="261" t="s">
        <v>98</v>
      </c>
      <c r="K182" s="265" t="s">
        <v>202</v>
      </c>
      <c r="L182" s="261" t="s">
        <v>2085</v>
      </c>
      <c r="M182" s="257"/>
      <c r="N182" s="257"/>
      <c r="O182" s="257"/>
    </row>
    <row r="183" spans="1:15" hidden="1">
      <c r="A183" s="256">
        <v>45691</v>
      </c>
      <c r="B183" s="257" t="s">
        <v>536</v>
      </c>
      <c r="C183" s="257" t="s">
        <v>152</v>
      </c>
      <c r="D183" s="258" t="s">
        <v>117</v>
      </c>
      <c r="E183" s="259">
        <v>74000</v>
      </c>
      <c r="F183" s="259">
        <v>124.12088031895712</v>
      </c>
      <c r="G183" s="260">
        <v>579.25099999999998</v>
      </c>
      <c r="H183" s="261" t="s">
        <v>157</v>
      </c>
      <c r="I183" s="261" t="s">
        <v>537</v>
      </c>
      <c r="J183" s="261" t="s">
        <v>98</v>
      </c>
      <c r="K183" s="265" t="s">
        <v>202</v>
      </c>
      <c r="L183" s="261" t="s">
        <v>2085</v>
      </c>
      <c r="M183" s="257"/>
      <c r="N183" s="257"/>
      <c r="O183" s="257"/>
    </row>
    <row r="184" spans="1:15" hidden="1">
      <c r="A184" s="256">
        <v>45691</v>
      </c>
      <c r="B184" s="257" t="s">
        <v>538</v>
      </c>
      <c r="C184" s="257" t="s">
        <v>152</v>
      </c>
      <c r="D184" s="258" t="s">
        <v>442</v>
      </c>
      <c r="E184" s="259">
        <v>88000</v>
      </c>
      <c r="F184" s="259">
        <v>147.60320902794902</v>
      </c>
      <c r="G184" s="260">
        <v>579.25099999999998</v>
      </c>
      <c r="H184" s="261" t="s">
        <v>157</v>
      </c>
      <c r="I184" s="261" t="s">
        <v>539</v>
      </c>
      <c r="J184" s="261" t="s">
        <v>98</v>
      </c>
      <c r="K184" s="265" t="s">
        <v>202</v>
      </c>
      <c r="L184" s="261" t="s">
        <v>2085</v>
      </c>
      <c r="M184" s="257"/>
      <c r="N184" s="257"/>
      <c r="O184" s="257"/>
    </row>
    <row r="185" spans="1:15" hidden="1">
      <c r="A185" s="256">
        <v>45691</v>
      </c>
      <c r="B185" s="257" t="s">
        <v>540</v>
      </c>
      <c r="C185" s="257" t="s">
        <v>152</v>
      </c>
      <c r="D185" s="257" t="s">
        <v>120</v>
      </c>
      <c r="E185" s="259">
        <v>10000</v>
      </c>
      <c r="F185" s="259">
        <v>16.773091934994206</v>
      </c>
      <c r="G185" s="260">
        <v>579.25099999999998</v>
      </c>
      <c r="H185" s="261" t="s">
        <v>157</v>
      </c>
      <c r="I185" s="261" t="s">
        <v>541</v>
      </c>
      <c r="J185" s="261" t="s">
        <v>98</v>
      </c>
      <c r="K185" s="265" t="s">
        <v>202</v>
      </c>
      <c r="L185" s="261" t="s">
        <v>2085</v>
      </c>
      <c r="M185" s="257"/>
      <c r="N185" s="257"/>
      <c r="O185" s="257"/>
    </row>
    <row r="186" spans="1:15" hidden="1">
      <c r="A186" s="256">
        <v>45691</v>
      </c>
      <c r="B186" s="257" t="s">
        <v>542</v>
      </c>
      <c r="C186" s="257" t="s">
        <v>152</v>
      </c>
      <c r="D186" s="258" t="s">
        <v>117</v>
      </c>
      <c r="E186" s="259">
        <v>10000</v>
      </c>
      <c r="F186" s="259">
        <v>16.773091934994206</v>
      </c>
      <c r="G186" s="260">
        <v>579.25099999999998</v>
      </c>
      <c r="H186" s="261" t="s">
        <v>157</v>
      </c>
      <c r="I186" s="261" t="s">
        <v>543</v>
      </c>
      <c r="J186" s="261" t="s">
        <v>98</v>
      </c>
      <c r="K186" s="265" t="s">
        <v>202</v>
      </c>
      <c r="L186" s="261" t="s">
        <v>2085</v>
      </c>
      <c r="M186" s="257"/>
      <c r="N186" s="257"/>
      <c r="O186" s="257"/>
    </row>
    <row r="187" spans="1:15" hidden="1">
      <c r="A187" s="256">
        <v>45691</v>
      </c>
      <c r="B187" s="257" t="s">
        <v>544</v>
      </c>
      <c r="C187" s="257" t="s">
        <v>152</v>
      </c>
      <c r="D187" s="258" t="s">
        <v>442</v>
      </c>
      <c r="E187" s="259">
        <v>16000</v>
      </c>
      <c r="F187" s="259">
        <v>26.836947095990727</v>
      </c>
      <c r="G187" s="260">
        <v>579.25099999999998</v>
      </c>
      <c r="H187" s="261" t="s">
        <v>157</v>
      </c>
      <c r="I187" s="261" t="s">
        <v>545</v>
      </c>
      <c r="J187" s="261" t="s">
        <v>98</v>
      </c>
      <c r="K187" s="265" t="s">
        <v>202</v>
      </c>
      <c r="L187" s="261" t="s">
        <v>2085</v>
      </c>
      <c r="M187" s="257"/>
      <c r="N187" s="257"/>
      <c r="O187" s="257"/>
    </row>
    <row r="188" spans="1:15" hidden="1">
      <c r="A188" s="256">
        <v>45691</v>
      </c>
      <c r="B188" s="257" t="s">
        <v>546</v>
      </c>
      <c r="C188" s="257" t="s">
        <v>152</v>
      </c>
      <c r="D188" s="257" t="s">
        <v>120</v>
      </c>
      <c r="E188" s="259">
        <v>11000</v>
      </c>
      <c r="F188" s="259">
        <v>18.450401128493628</v>
      </c>
      <c r="G188" s="260">
        <v>579.25099999999998</v>
      </c>
      <c r="H188" s="261" t="s">
        <v>157</v>
      </c>
      <c r="I188" s="261" t="s">
        <v>547</v>
      </c>
      <c r="J188" s="261" t="s">
        <v>98</v>
      </c>
      <c r="K188" s="265" t="s">
        <v>202</v>
      </c>
      <c r="L188" s="261" t="s">
        <v>2085</v>
      </c>
      <c r="M188" s="257"/>
      <c r="N188" s="257"/>
      <c r="O188" s="257"/>
    </row>
    <row r="189" spans="1:15" hidden="1">
      <c r="A189" s="256">
        <v>45692</v>
      </c>
      <c r="B189" s="257" t="s">
        <v>697</v>
      </c>
      <c r="C189" s="263" t="s">
        <v>174</v>
      </c>
      <c r="D189" s="258" t="s">
        <v>117</v>
      </c>
      <c r="E189" s="259">
        <v>7000</v>
      </c>
      <c r="F189" s="259">
        <v>11.741164354495943</v>
      </c>
      <c r="G189" s="260">
        <v>579.25099999999998</v>
      </c>
      <c r="H189" s="261" t="s">
        <v>187</v>
      </c>
      <c r="I189" s="261" t="s">
        <v>698</v>
      </c>
      <c r="J189" s="261" t="s">
        <v>98</v>
      </c>
      <c r="K189" s="265" t="s">
        <v>202</v>
      </c>
      <c r="L189" s="261" t="s">
        <v>2085</v>
      </c>
      <c r="M189" s="257"/>
      <c r="N189" s="257"/>
      <c r="O189" s="257"/>
    </row>
    <row r="190" spans="1:15" hidden="1">
      <c r="A190" s="256">
        <v>45692</v>
      </c>
      <c r="B190" s="257" t="s">
        <v>548</v>
      </c>
      <c r="C190" s="257" t="s">
        <v>256</v>
      </c>
      <c r="D190" s="258" t="s">
        <v>117</v>
      </c>
      <c r="E190" s="259">
        <v>70000</v>
      </c>
      <c r="F190" s="259">
        <v>117.41164354495943</v>
      </c>
      <c r="G190" s="260">
        <v>579.25099999999998</v>
      </c>
      <c r="H190" s="261" t="s">
        <v>187</v>
      </c>
      <c r="I190" s="261" t="s">
        <v>549</v>
      </c>
      <c r="J190" s="261" t="s">
        <v>98</v>
      </c>
      <c r="K190" s="265" t="s">
        <v>202</v>
      </c>
      <c r="L190" s="261" t="s">
        <v>2085</v>
      </c>
      <c r="M190" s="257"/>
      <c r="N190" s="257"/>
      <c r="O190" s="257"/>
    </row>
    <row r="191" spans="1:15" hidden="1">
      <c r="A191" s="256">
        <v>45692</v>
      </c>
      <c r="B191" s="257" t="s">
        <v>733</v>
      </c>
      <c r="C191" s="263" t="s">
        <v>174</v>
      </c>
      <c r="D191" s="258" t="s">
        <v>117</v>
      </c>
      <c r="E191" s="259">
        <v>7000</v>
      </c>
      <c r="F191" s="259">
        <v>11.741164354495943</v>
      </c>
      <c r="G191" s="260">
        <v>579.25099999999998</v>
      </c>
      <c r="H191" s="261" t="s">
        <v>193</v>
      </c>
      <c r="I191" s="261" t="s">
        <v>734</v>
      </c>
      <c r="J191" s="261" t="s">
        <v>98</v>
      </c>
      <c r="K191" s="265" t="s">
        <v>202</v>
      </c>
      <c r="L191" s="261" t="s">
        <v>2085</v>
      </c>
      <c r="M191" s="257"/>
      <c r="N191" s="257"/>
      <c r="O191" s="257"/>
    </row>
    <row r="192" spans="1:15" hidden="1">
      <c r="A192" s="256">
        <v>45692</v>
      </c>
      <c r="B192" s="257" t="s">
        <v>100</v>
      </c>
      <c r="C192" s="263" t="s">
        <v>304</v>
      </c>
      <c r="D192" s="257" t="s">
        <v>118</v>
      </c>
      <c r="E192" s="259">
        <v>260000</v>
      </c>
      <c r="F192" s="259">
        <v>436.10039030984933</v>
      </c>
      <c r="G192" s="260">
        <v>579.25099999999998</v>
      </c>
      <c r="H192" s="261" t="s">
        <v>148</v>
      </c>
      <c r="I192" s="261" t="s">
        <v>479</v>
      </c>
      <c r="J192" s="261" t="s">
        <v>98</v>
      </c>
      <c r="K192" s="265" t="s">
        <v>202</v>
      </c>
      <c r="L192" s="261" t="s">
        <v>2085</v>
      </c>
      <c r="M192" s="257"/>
      <c r="N192" s="257"/>
      <c r="O192" s="257"/>
    </row>
    <row r="193" spans="1:15" hidden="1">
      <c r="A193" s="256">
        <v>45692</v>
      </c>
      <c r="B193" s="257" t="s">
        <v>3064</v>
      </c>
      <c r="C193" s="263" t="s">
        <v>174</v>
      </c>
      <c r="D193" s="258" t="s">
        <v>442</v>
      </c>
      <c r="E193" s="259">
        <v>9000</v>
      </c>
      <c r="F193" s="259">
        <v>15.095782741494785</v>
      </c>
      <c r="G193" s="260">
        <v>579.25099999999998</v>
      </c>
      <c r="H193" s="261" t="s">
        <v>317</v>
      </c>
      <c r="I193" s="261" t="s">
        <v>742</v>
      </c>
      <c r="J193" s="261" t="s">
        <v>98</v>
      </c>
      <c r="K193" s="265" t="s">
        <v>202</v>
      </c>
      <c r="L193" s="261" t="s">
        <v>2085</v>
      </c>
      <c r="M193" s="257"/>
      <c r="N193" s="257"/>
      <c r="O193" s="257"/>
    </row>
    <row r="194" spans="1:15" hidden="1">
      <c r="A194" s="256">
        <v>45693</v>
      </c>
      <c r="B194" s="257" t="s">
        <v>3076</v>
      </c>
      <c r="C194" s="263" t="s">
        <v>174</v>
      </c>
      <c r="D194" s="258" t="s">
        <v>442</v>
      </c>
      <c r="E194" s="259">
        <v>6000</v>
      </c>
      <c r="F194" s="259">
        <v>10.063855160996523</v>
      </c>
      <c r="G194" s="260">
        <v>579.25099999999998</v>
      </c>
      <c r="H194" s="261" t="s">
        <v>184</v>
      </c>
      <c r="I194" s="261" t="s">
        <v>652</v>
      </c>
      <c r="J194" s="261" t="s">
        <v>98</v>
      </c>
      <c r="K194" s="265" t="s">
        <v>202</v>
      </c>
      <c r="L194" s="261" t="s">
        <v>2085</v>
      </c>
      <c r="M194" s="257"/>
      <c r="N194" s="257"/>
      <c r="O194" s="257"/>
    </row>
    <row r="195" spans="1:15" hidden="1">
      <c r="A195" s="256">
        <v>45693</v>
      </c>
      <c r="B195" s="257" t="s">
        <v>550</v>
      </c>
      <c r="C195" s="263" t="s">
        <v>1163</v>
      </c>
      <c r="D195" s="257" t="s">
        <v>118</v>
      </c>
      <c r="E195" s="259">
        <v>25000</v>
      </c>
      <c r="F195" s="259">
        <v>41.93272983748551</v>
      </c>
      <c r="G195" s="260">
        <v>579.25099999999998</v>
      </c>
      <c r="H195" s="261" t="s">
        <v>157</v>
      </c>
      <c r="I195" s="261" t="s">
        <v>551</v>
      </c>
      <c r="J195" s="261" t="s">
        <v>98</v>
      </c>
      <c r="K195" s="265" t="s">
        <v>202</v>
      </c>
      <c r="L195" s="261" t="s">
        <v>2085</v>
      </c>
      <c r="M195" s="257"/>
      <c r="N195" s="257"/>
      <c r="O195" s="257"/>
    </row>
    <row r="196" spans="1:15" hidden="1">
      <c r="A196" s="256">
        <v>45693</v>
      </c>
      <c r="B196" s="257" t="s">
        <v>552</v>
      </c>
      <c r="C196" s="263" t="s">
        <v>1163</v>
      </c>
      <c r="D196" s="257" t="s">
        <v>118</v>
      </c>
      <c r="E196" s="259">
        <v>63000</v>
      </c>
      <c r="F196" s="259">
        <v>105.6704791904635</v>
      </c>
      <c r="G196" s="260">
        <v>579.25099999999998</v>
      </c>
      <c r="H196" s="261" t="s">
        <v>157</v>
      </c>
      <c r="I196" s="261" t="s">
        <v>553</v>
      </c>
      <c r="J196" s="261" t="s">
        <v>98</v>
      </c>
      <c r="K196" s="265" t="s">
        <v>202</v>
      </c>
      <c r="L196" s="261" t="s">
        <v>2085</v>
      </c>
      <c r="M196" s="257"/>
      <c r="N196" s="257"/>
      <c r="O196" s="257"/>
    </row>
    <row r="197" spans="1:15" hidden="1">
      <c r="A197" s="256">
        <v>45693</v>
      </c>
      <c r="B197" s="257" t="s">
        <v>3074</v>
      </c>
      <c r="C197" s="263" t="s">
        <v>177</v>
      </c>
      <c r="D197" s="258" t="s">
        <v>442</v>
      </c>
      <c r="E197" s="259">
        <v>230000</v>
      </c>
      <c r="F197" s="259">
        <v>385.78111450486671</v>
      </c>
      <c r="G197" s="260">
        <v>579.25099999999998</v>
      </c>
      <c r="H197" s="261" t="s">
        <v>184</v>
      </c>
      <c r="I197" s="261" t="s">
        <v>653</v>
      </c>
      <c r="J197" s="261" t="s">
        <v>98</v>
      </c>
      <c r="K197" s="265" t="s">
        <v>202</v>
      </c>
      <c r="L197" s="261" t="s">
        <v>2085</v>
      </c>
      <c r="M197" s="257"/>
      <c r="N197" s="257"/>
      <c r="O197" s="257"/>
    </row>
    <row r="198" spans="1:15" hidden="1">
      <c r="A198" s="256">
        <v>45693</v>
      </c>
      <c r="B198" s="257" t="s">
        <v>3190</v>
      </c>
      <c r="C198" s="263" t="s">
        <v>177</v>
      </c>
      <c r="D198" s="258" t="s">
        <v>442</v>
      </c>
      <c r="E198" s="259">
        <v>70000</v>
      </c>
      <c r="F198" s="259">
        <v>117.41164354495943</v>
      </c>
      <c r="G198" s="260">
        <v>579.25099999999998</v>
      </c>
      <c r="H198" s="261" t="s">
        <v>317</v>
      </c>
      <c r="I198" s="261" t="s">
        <v>741</v>
      </c>
      <c r="J198" s="261" t="s">
        <v>98</v>
      </c>
      <c r="K198" s="265" t="s">
        <v>202</v>
      </c>
      <c r="L198" s="261" t="s">
        <v>2085</v>
      </c>
      <c r="M198" s="257"/>
      <c r="N198" s="257"/>
      <c r="O198" s="257"/>
    </row>
    <row r="199" spans="1:15" hidden="1">
      <c r="A199" s="256">
        <v>45693</v>
      </c>
      <c r="B199" s="257" t="s">
        <v>3066</v>
      </c>
      <c r="C199" s="263" t="s">
        <v>174</v>
      </c>
      <c r="D199" s="258" t="s">
        <v>442</v>
      </c>
      <c r="E199" s="259">
        <v>5000</v>
      </c>
      <c r="F199" s="259">
        <v>8.3865459674971028</v>
      </c>
      <c r="G199" s="260">
        <v>579.25099999999998</v>
      </c>
      <c r="H199" s="261" t="s">
        <v>317</v>
      </c>
      <c r="I199" s="261" t="s">
        <v>742</v>
      </c>
      <c r="J199" s="261" t="s">
        <v>98</v>
      </c>
      <c r="K199" s="265" t="s">
        <v>202</v>
      </c>
      <c r="L199" s="261" t="s">
        <v>2085</v>
      </c>
      <c r="M199" s="257"/>
      <c r="N199" s="257"/>
      <c r="O199" s="257"/>
    </row>
    <row r="200" spans="1:15" hidden="1">
      <c r="A200" s="256">
        <v>45693</v>
      </c>
      <c r="B200" s="257" t="s">
        <v>699</v>
      </c>
      <c r="C200" s="263" t="s">
        <v>177</v>
      </c>
      <c r="D200" s="258" t="s">
        <v>117</v>
      </c>
      <c r="E200" s="259">
        <v>20000</v>
      </c>
      <c r="F200" s="259">
        <v>33.546183869988411</v>
      </c>
      <c r="G200" s="260">
        <v>579.25099999999998</v>
      </c>
      <c r="H200" s="261" t="s">
        <v>187</v>
      </c>
      <c r="I200" s="261" t="s">
        <v>700</v>
      </c>
      <c r="J200" s="261" t="s">
        <v>98</v>
      </c>
      <c r="K200" s="265" t="s">
        <v>202</v>
      </c>
      <c r="L200" s="261" t="s">
        <v>2085</v>
      </c>
      <c r="M200" s="257"/>
      <c r="N200" s="257"/>
      <c r="O200" s="257"/>
    </row>
    <row r="201" spans="1:15" hidden="1">
      <c r="A201" s="256">
        <v>45693</v>
      </c>
      <c r="B201" s="257" t="s">
        <v>735</v>
      </c>
      <c r="C201" s="263" t="s">
        <v>177</v>
      </c>
      <c r="D201" s="258" t="s">
        <v>117</v>
      </c>
      <c r="E201" s="259">
        <v>20000</v>
      </c>
      <c r="F201" s="259">
        <v>33.546183869988411</v>
      </c>
      <c r="G201" s="260">
        <v>579.25099999999998</v>
      </c>
      <c r="H201" s="261" t="s">
        <v>193</v>
      </c>
      <c r="I201" s="261" t="s">
        <v>736</v>
      </c>
      <c r="J201" s="261" t="s">
        <v>98</v>
      </c>
      <c r="K201" s="265" t="s">
        <v>202</v>
      </c>
      <c r="L201" s="261" t="s">
        <v>2085</v>
      </c>
      <c r="M201" s="257"/>
      <c r="N201" s="257"/>
      <c r="O201" s="257"/>
    </row>
    <row r="202" spans="1:15" hidden="1">
      <c r="A202" s="256">
        <v>45693</v>
      </c>
      <c r="B202" s="257" t="s">
        <v>99</v>
      </c>
      <c r="C202" s="263" t="s">
        <v>126</v>
      </c>
      <c r="D202" s="257" t="s">
        <v>118</v>
      </c>
      <c r="E202" s="259">
        <v>500000</v>
      </c>
      <c r="F202" s="259">
        <v>838.65459674971032</v>
      </c>
      <c r="G202" s="260">
        <v>579.25099999999998</v>
      </c>
      <c r="H202" s="261" t="s">
        <v>148</v>
      </c>
      <c r="I202" s="261" t="s">
        <v>480</v>
      </c>
      <c r="J202" s="261" t="s">
        <v>98</v>
      </c>
      <c r="K202" s="265" t="s">
        <v>202</v>
      </c>
      <c r="L202" s="261" t="s">
        <v>2085</v>
      </c>
      <c r="M202" s="257"/>
      <c r="N202" s="257"/>
      <c r="O202" s="257"/>
    </row>
    <row r="203" spans="1:15" hidden="1">
      <c r="A203" s="256">
        <v>45694</v>
      </c>
      <c r="B203" s="257" t="s">
        <v>3180</v>
      </c>
      <c r="C203" s="263" t="s">
        <v>174</v>
      </c>
      <c r="D203" s="258" t="s">
        <v>442</v>
      </c>
      <c r="E203" s="259">
        <v>9000</v>
      </c>
      <c r="F203" s="259">
        <v>15.095782741494785</v>
      </c>
      <c r="G203" s="260">
        <v>579.25099999999998</v>
      </c>
      <c r="H203" s="261" t="s">
        <v>175</v>
      </c>
      <c r="I203" s="261" t="s">
        <v>672</v>
      </c>
      <c r="J203" s="261" t="s">
        <v>98</v>
      </c>
      <c r="K203" s="265" t="s">
        <v>202</v>
      </c>
      <c r="L203" s="261" t="s">
        <v>2085</v>
      </c>
      <c r="M203" s="257"/>
      <c r="N203" s="257"/>
      <c r="O203" s="257"/>
    </row>
    <row r="204" spans="1:15" hidden="1">
      <c r="A204" s="256">
        <v>45694</v>
      </c>
      <c r="B204" s="257" t="s">
        <v>3191</v>
      </c>
      <c r="C204" s="263" t="s">
        <v>177</v>
      </c>
      <c r="D204" s="258" t="s">
        <v>442</v>
      </c>
      <c r="E204" s="259">
        <v>190000</v>
      </c>
      <c r="F204" s="259">
        <v>318.68874676488991</v>
      </c>
      <c r="G204" s="260">
        <v>579.25099999999998</v>
      </c>
      <c r="H204" s="261" t="s">
        <v>175</v>
      </c>
      <c r="I204" s="261" t="s">
        <v>673</v>
      </c>
      <c r="J204" s="261" t="s">
        <v>98</v>
      </c>
      <c r="K204" s="265" t="s">
        <v>202</v>
      </c>
      <c r="L204" s="261" t="s">
        <v>2085</v>
      </c>
      <c r="M204" s="257"/>
      <c r="N204" s="257"/>
      <c r="O204" s="257"/>
    </row>
    <row r="205" spans="1:15" hidden="1">
      <c r="A205" s="256">
        <v>45694</v>
      </c>
      <c r="B205" s="257" t="s">
        <v>498</v>
      </c>
      <c r="C205" s="263" t="s">
        <v>2088</v>
      </c>
      <c r="D205" s="257" t="s">
        <v>120</v>
      </c>
      <c r="E205" s="259">
        <v>148000</v>
      </c>
      <c r="F205" s="259">
        <v>248.24176063791424</v>
      </c>
      <c r="G205" s="260">
        <v>579.25099999999998</v>
      </c>
      <c r="H205" s="261" t="s">
        <v>213</v>
      </c>
      <c r="I205" s="261" t="s">
        <v>499</v>
      </c>
      <c r="J205" s="261" t="s">
        <v>98</v>
      </c>
      <c r="K205" s="265" t="s">
        <v>202</v>
      </c>
      <c r="L205" s="261" t="s">
        <v>2085</v>
      </c>
      <c r="M205" s="257"/>
      <c r="N205" s="257"/>
      <c r="O205" s="257"/>
    </row>
    <row r="206" spans="1:15" hidden="1">
      <c r="A206" s="256">
        <v>45695</v>
      </c>
      <c r="B206" s="257" t="s">
        <v>3029</v>
      </c>
      <c r="C206" s="263" t="s">
        <v>174</v>
      </c>
      <c r="D206" s="258" t="s">
        <v>442</v>
      </c>
      <c r="E206" s="259">
        <v>5000</v>
      </c>
      <c r="F206" s="259">
        <v>8.3865459674971028</v>
      </c>
      <c r="G206" s="260">
        <v>579.25099999999998</v>
      </c>
      <c r="H206" s="261" t="s">
        <v>184</v>
      </c>
      <c r="I206" s="261" t="s">
        <v>654</v>
      </c>
      <c r="J206" s="261" t="s">
        <v>98</v>
      </c>
      <c r="K206" s="265" t="s">
        <v>202</v>
      </c>
      <c r="L206" s="261" t="s">
        <v>2085</v>
      </c>
      <c r="M206" s="257"/>
      <c r="N206" s="257"/>
      <c r="O206" s="257"/>
    </row>
    <row r="207" spans="1:15" hidden="1">
      <c r="A207" s="256">
        <v>45695</v>
      </c>
      <c r="B207" s="257" t="s">
        <v>3164</v>
      </c>
      <c r="C207" s="263" t="s">
        <v>177</v>
      </c>
      <c r="D207" s="258" t="s">
        <v>442</v>
      </c>
      <c r="E207" s="259">
        <v>30000</v>
      </c>
      <c r="F207" s="259">
        <v>50.319275804982617</v>
      </c>
      <c r="G207" s="260">
        <v>579.25099999999998</v>
      </c>
      <c r="H207" s="261" t="s">
        <v>184</v>
      </c>
      <c r="I207" s="261" t="s">
        <v>655</v>
      </c>
      <c r="J207" s="261" t="s">
        <v>98</v>
      </c>
      <c r="K207" s="265" t="s">
        <v>202</v>
      </c>
      <c r="L207" s="261" t="s">
        <v>2085</v>
      </c>
      <c r="M207" s="257"/>
      <c r="N207" s="257"/>
      <c r="O207" s="257"/>
    </row>
    <row r="208" spans="1:15" hidden="1">
      <c r="A208" s="256">
        <v>45695</v>
      </c>
      <c r="B208" s="257" t="s">
        <v>3176</v>
      </c>
      <c r="C208" s="263" t="s">
        <v>177</v>
      </c>
      <c r="D208" s="258" t="s">
        <v>442</v>
      </c>
      <c r="E208" s="259">
        <v>30000</v>
      </c>
      <c r="F208" s="259">
        <v>50.319275804982617</v>
      </c>
      <c r="G208" s="260">
        <v>579.25099999999998</v>
      </c>
      <c r="H208" s="261" t="s">
        <v>317</v>
      </c>
      <c r="I208" s="261" t="s">
        <v>742</v>
      </c>
      <c r="J208" s="261" t="s">
        <v>98</v>
      </c>
      <c r="K208" s="265" t="s">
        <v>202</v>
      </c>
      <c r="L208" s="261" t="s">
        <v>2085</v>
      </c>
      <c r="M208" s="257"/>
      <c r="N208" s="257"/>
      <c r="O208" s="257"/>
    </row>
    <row r="209" spans="1:15" hidden="1">
      <c r="A209" s="256">
        <v>45695</v>
      </c>
      <c r="B209" s="257" t="s">
        <v>3066</v>
      </c>
      <c r="C209" s="263" t="s">
        <v>174</v>
      </c>
      <c r="D209" s="258" t="s">
        <v>442</v>
      </c>
      <c r="E209" s="259">
        <v>5000</v>
      </c>
      <c r="F209" s="259">
        <v>8.3865459674971028</v>
      </c>
      <c r="G209" s="260">
        <v>579.25099999999998</v>
      </c>
      <c r="H209" s="261" t="s">
        <v>317</v>
      </c>
      <c r="I209" s="261" t="s">
        <v>743</v>
      </c>
      <c r="J209" s="261" t="s">
        <v>98</v>
      </c>
      <c r="K209" s="265" t="s">
        <v>202</v>
      </c>
      <c r="L209" s="261" t="s">
        <v>2085</v>
      </c>
      <c r="M209" s="257"/>
      <c r="N209" s="257"/>
      <c r="O209" s="257"/>
    </row>
    <row r="210" spans="1:15" hidden="1">
      <c r="A210" s="256">
        <v>45695</v>
      </c>
      <c r="B210" s="257" t="s">
        <v>3064</v>
      </c>
      <c r="C210" s="263" t="s">
        <v>174</v>
      </c>
      <c r="D210" s="258" t="s">
        <v>442</v>
      </c>
      <c r="E210" s="259">
        <v>4500</v>
      </c>
      <c r="F210" s="259">
        <v>7.5478913707473927</v>
      </c>
      <c r="G210" s="260">
        <v>579.25099999999998</v>
      </c>
      <c r="H210" s="261" t="s">
        <v>317</v>
      </c>
      <c r="I210" s="261" t="s">
        <v>744</v>
      </c>
      <c r="J210" s="261" t="s">
        <v>98</v>
      </c>
      <c r="K210" s="265" t="s">
        <v>202</v>
      </c>
      <c r="L210" s="261" t="s">
        <v>2085</v>
      </c>
      <c r="M210" s="257"/>
      <c r="N210" s="257"/>
      <c r="O210" s="257"/>
    </row>
    <row r="211" spans="1:15" hidden="1">
      <c r="A211" s="256">
        <v>45695</v>
      </c>
      <c r="B211" s="257" t="s">
        <v>701</v>
      </c>
      <c r="C211" s="263" t="s">
        <v>174</v>
      </c>
      <c r="D211" s="258" t="s">
        <v>117</v>
      </c>
      <c r="E211" s="259">
        <v>7000</v>
      </c>
      <c r="F211" s="259">
        <v>11.741164354495943</v>
      </c>
      <c r="G211" s="260">
        <v>579.25099999999998</v>
      </c>
      <c r="H211" s="261" t="s">
        <v>187</v>
      </c>
      <c r="I211" s="261" t="s">
        <v>702</v>
      </c>
      <c r="J211" s="261" t="s">
        <v>98</v>
      </c>
      <c r="K211" s="265" t="s">
        <v>202</v>
      </c>
      <c r="L211" s="261" t="s">
        <v>2085</v>
      </c>
      <c r="M211" s="257"/>
      <c r="N211" s="257"/>
      <c r="O211" s="257"/>
    </row>
    <row r="212" spans="1:15" hidden="1">
      <c r="A212" s="256">
        <v>45695</v>
      </c>
      <c r="B212" s="257" t="s">
        <v>703</v>
      </c>
      <c r="C212" s="263" t="s">
        <v>177</v>
      </c>
      <c r="D212" s="258" t="s">
        <v>117</v>
      </c>
      <c r="E212" s="259">
        <v>30000</v>
      </c>
      <c r="F212" s="259">
        <v>50.319275804982617</v>
      </c>
      <c r="G212" s="260">
        <v>579.25099999999998</v>
      </c>
      <c r="H212" s="261" t="s">
        <v>187</v>
      </c>
      <c r="I212" s="261" t="s">
        <v>704</v>
      </c>
      <c r="J212" s="261" t="s">
        <v>98</v>
      </c>
      <c r="K212" s="265" t="s">
        <v>202</v>
      </c>
      <c r="L212" s="261" t="s">
        <v>2085</v>
      </c>
      <c r="M212" s="257"/>
      <c r="N212" s="257"/>
      <c r="O212" s="257"/>
    </row>
    <row r="213" spans="1:15" hidden="1">
      <c r="A213" s="256">
        <v>45695</v>
      </c>
      <c r="B213" s="257" t="s">
        <v>737</v>
      </c>
      <c r="C213" s="263" t="s">
        <v>174</v>
      </c>
      <c r="D213" s="258" t="s">
        <v>117</v>
      </c>
      <c r="E213" s="259">
        <v>7000</v>
      </c>
      <c r="F213" s="259">
        <v>11.741164354495943</v>
      </c>
      <c r="G213" s="260">
        <v>579.25099999999998</v>
      </c>
      <c r="H213" s="261" t="s">
        <v>193</v>
      </c>
      <c r="I213" s="261" t="s">
        <v>738</v>
      </c>
      <c r="J213" s="261" t="s">
        <v>98</v>
      </c>
      <c r="K213" s="265" t="s">
        <v>202</v>
      </c>
      <c r="L213" s="261" t="s">
        <v>2085</v>
      </c>
      <c r="M213" s="257"/>
      <c r="N213" s="257"/>
      <c r="O213" s="257"/>
    </row>
    <row r="214" spans="1:15" hidden="1">
      <c r="A214" s="256">
        <v>45695</v>
      </c>
      <c r="B214" s="257" t="s">
        <v>739</v>
      </c>
      <c r="C214" s="263" t="s">
        <v>177</v>
      </c>
      <c r="D214" s="258" t="s">
        <v>117</v>
      </c>
      <c r="E214" s="259">
        <v>30000</v>
      </c>
      <c r="F214" s="259">
        <v>50.319275804982617</v>
      </c>
      <c r="G214" s="260">
        <v>579.25099999999998</v>
      </c>
      <c r="H214" s="261" t="s">
        <v>193</v>
      </c>
      <c r="I214" s="261" t="s">
        <v>740</v>
      </c>
      <c r="J214" s="261" t="s">
        <v>98</v>
      </c>
      <c r="K214" s="265" t="s">
        <v>202</v>
      </c>
      <c r="L214" s="261" t="s">
        <v>2085</v>
      </c>
      <c r="M214" s="257"/>
      <c r="N214" s="257"/>
      <c r="O214" s="257"/>
    </row>
    <row r="215" spans="1:15" hidden="1">
      <c r="A215" s="256">
        <v>45695</v>
      </c>
      <c r="B215" s="257" t="s">
        <v>192</v>
      </c>
      <c r="C215" s="264" t="s">
        <v>2086</v>
      </c>
      <c r="D215" s="257" t="s">
        <v>118</v>
      </c>
      <c r="E215" s="259">
        <v>4830.0000000000009</v>
      </c>
      <c r="F215" s="259">
        <v>8.1014034046022019</v>
      </c>
      <c r="G215" s="260">
        <v>579.25099999999998</v>
      </c>
      <c r="H215" s="261" t="s">
        <v>190</v>
      </c>
      <c r="I215" s="261" t="s">
        <v>504</v>
      </c>
      <c r="J215" s="261" t="s">
        <v>98</v>
      </c>
      <c r="K215" s="265" t="s">
        <v>202</v>
      </c>
      <c r="L215" s="261" t="s">
        <v>2085</v>
      </c>
      <c r="M215" s="257"/>
      <c r="N215" s="257"/>
      <c r="O215" s="257"/>
    </row>
    <row r="216" spans="1:15" hidden="1">
      <c r="A216" s="256">
        <v>45695</v>
      </c>
      <c r="B216" s="257" t="s">
        <v>770</v>
      </c>
      <c r="C216" s="264" t="s">
        <v>2086</v>
      </c>
      <c r="D216" s="257" t="s">
        <v>118</v>
      </c>
      <c r="E216" s="259">
        <v>13615</v>
      </c>
      <c r="F216" s="259">
        <v>22.180704562790044</v>
      </c>
      <c r="G216" s="260">
        <v>579.25099999999998</v>
      </c>
      <c r="H216" s="261" t="s">
        <v>193</v>
      </c>
      <c r="I216" s="261" t="s">
        <v>609</v>
      </c>
      <c r="J216" s="261" t="s">
        <v>98</v>
      </c>
      <c r="K216" s="265" t="s">
        <v>202</v>
      </c>
      <c r="L216" s="261" t="s">
        <v>2085</v>
      </c>
      <c r="M216" s="257"/>
      <c r="N216" s="257"/>
      <c r="O216" s="257"/>
    </row>
    <row r="217" spans="1:15" hidden="1">
      <c r="A217" s="256">
        <v>45696</v>
      </c>
      <c r="B217" s="257" t="s">
        <v>3192</v>
      </c>
      <c r="C217" s="263" t="s">
        <v>174</v>
      </c>
      <c r="D217" s="258" t="s">
        <v>442</v>
      </c>
      <c r="E217" s="259">
        <v>8000</v>
      </c>
      <c r="F217" s="259">
        <v>13.418473547995363</v>
      </c>
      <c r="G217" s="260">
        <v>579.25099999999998</v>
      </c>
      <c r="H217" s="261" t="s">
        <v>323</v>
      </c>
      <c r="I217" s="261" t="s">
        <v>683</v>
      </c>
      <c r="J217" s="261" t="s">
        <v>98</v>
      </c>
      <c r="K217" s="265" t="s">
        <v>202</v>
      </c>
      <c r="L217" s="261" t="s">
        <v>2085</v>
      </c>
      <c r="M217" s="257"/>
      <c r="N217" s="257"/>
      <c r="O217" s="257"/>
    </row>
    <row r="218" spans="1:15" hidden="1">
      <c r="A218" s="256">
        <v>45696</v>
      </c>
      <c r="B218" s="257" t="s">
        <v>3193</v>
      </c>
      <c r="C218" s="263" t="s">
        <v>177</v>
      </c>
      <c r="D218" s="258" t="s">
        <v>442</v>
      </c>
      <c r="E218" s="259">
        <v>70000</v>
      </c>
      <c r="F218" s="259">
        <v>117.41164354495943</v>
      </c>
      <c r="G218" s="260">
        <v>579.25099999999998</v>
      </c>
      <c r="H218" s="261" t="s">
        <v>323</v>
      </c>
      <c r="I218" s="261" t="s">
        <v>684</v>
      </c>
      <c r="J218" s="261" t="s">
        <v>98</v>
      </c>
      <c r="K218" s="265" t="s">
        <v>202</v>
      </c>
      <c r="L218" s="261" t="s">
        <v>2085</v>
      </c>
      <c r="M218" s="257"/>
      <c r="N218" s="257"/>
      <c r="O218" s="257"/>
    </row>
    <row r="219" spans="1:15" hidden="1">
      <c r="A219" s="256">
        <v>45696</v>
      </c>
      <c r="B219" s="257" t="s">
        <v>3194</v>
      </c>
      <c r="C219" s="263" t="s">
        <v>174</v>
      </c>
      <c r="D219" s="258" t="s">
        <v>442</v>
      </c>
      <c r="E219" s="259">
        <v>4000</v>
      </c>
      <c r="F219" s="259">
        <v>6.7092367739976817</v>
      </c>
      <c r="G219" s="260">
        <v>579.25099999999998</v>
      </c>
      <c r="H219" s="261" t="s">
        <v>323</v>
      </c>
      <c r="I219" s="261" t="s">
        <v>685</v>
      </c>
      <c r="J219" s="261" t="s">
        <v>98</v>
      </c>
      <c r="K219" s="265" t="s">
        <v>202</v>
      </c>
      <c r="L219" s="261" t="s">
        <v>2085</v>
      </c>
      <c r="M219" s="257"/>
      <c r="N219" s="257"/>
      <c r="O219" s="257"/>
    </row>
    <row r="220" spans="1:15" hidden="1">
      <c r="A220" s="256">
        <v>45697</v>
      </c>
      <c r="B220" s="257" t="s">
        <v>3026</v>
      </c>
      <c r="C220" s="263" t="s">
        <v>177</v>
      </c>
      <c r="D220" s="258" t="s">
        <v>442</v>
      </c>
      <c r="E220" s="259">
        <v>30000</v>
      </c>
      <c r="F220" s="259">
        <v>50.319275804982617</v>
      </c>
      <c r="G220" s="260">
        <v>579.25099999999998</v>
      </c>
      <c r="H220" s="261" t="s">
        <v>184</v>
      </c>
      <c r="I220" s="261" t="s">
        <v>656</v>
      </c>
      <c r="J220" s="261" t="s">
        <v>98</v>
      </c>
      <c r="K220" s="265" t="s">
        <v>202</v>
      </c>
      <c r="L220" s="261" t="s">
        <v>2085</v>
      </c>
      <c r="M220" s="257"/>
      <c r="N220" s="257"/>
      <c r="O220" s="257"/>
    </row>
    <row r="221" spans="1:15" hidden="1">
      <c r="A221" s="256">
        <v>45697</v>
      </c>
      <c r="B221" s="257" t="s">
        <v>3076</v>
      </c>
      <c r="C221" s="263" t="s">
        <v>174</v>
      </c>
      <c r="D221" s="258" t="s">
        <v>442</v>
      </c>
      <c r="E221" s="259">
        <v>5000</v>
      </c>
      <c r="F221" s="259">
        <v>8.3865459674971028</v>
      </c>
      <c r="G221" s="260">
        <v>579.25099999999998</v>
      </c>
      <c r="H221" s="261" t="s">
        <v>184</v>
      </c>
      <c r="I221" s="261" t="s">
        <v>657</v>
      </c>
      <c r="J221" s="261" t="s">
        <v>98</v>
      </c>
      <c r="K221" s="265" t="s">
        <v>202</v>
      </c>
      <c r="L221" s="261" t="s">
        <v>2085</v>
      </c>
      <c r="M221" s="257"/>
      <c r="N221" s="257"/>
      <c r="O221" s="257"/>
    </row>
    <row r="222" spans="1:15" hidden="1">
      <c r="A222" s="256">
        <v>45697</v>
      </c>
      <c r="B222" s="257" t="s">
        <v>658</v>
      </c>
      <c r="C222" s="263" t="s">
        <v>365</v>
      </c>
      <c r="D222" s="258" t="s">
        <v>442</v>
      </c>
      <c r="E222" s="259">
        <v>39500</v>
      </c>
      <c r="F222" s="259">
        <v>66.253713143227117</v>
      </c>
      <c r="G222" s="260">
        <v>579.25099999999998</v>
      </c>
      <c r="H222" s="261" t="s">
        <v>184</v>
      </c>
      <c r="I222" s="261" t="s">
        <v>659</v>
      </c>
      <c r="J222" s="261" t="s">
        <v>98</v>
      </c>
      <c r="K222" s="265" t="s">
        <v>202</v>
      </c>
      <c r="L222" s="261" t="s">
        <v>2085</v>
      </c>
      <c r="M222" s="257"/>
      <c r="N222" s="257"/>
      <c r="O222" s="257"/>
    </row>
    <row r="223" spans="1:15" hidden="1">
      <c r="A223" s="256">
        <v>45697</v>
      </c>
      <c r="B223" s="257" t="s">
        <v>3195</v>
      </c>
      <c r="C223" s="263" t="s">
        <v>177</v>
      </c>
      <c r="D223" s="258" t="s">
        <v>442</v>
      </c>
      <c r="E223" s="259">
        <v>30000</v>
      </c>
      <c r="F223" s="259">
        <v>50.319275804982617</v>
      </c>
      <c r="G223" s="260">
        <v>579.25099999999998</v>
      </c>
      <c r="H223" s="261" t="s">
        <v>317</v>
      </c>
      <c r="I223" s="261" t="s">
        <v>745</v>
      </c>
      <c r="J223" s="261" t="s">
        <v>98</v>
      </c>
      <c r="K223" s="265" t="s">
        <v>202</v>
      </c>
      <c r="L223" s="261" t="s">
        <v>2085</v>
      </c>
      <c r="M223" s="257"/>
      <c r="N223" s="257"/>
      <c r="O223" s="257"/>
    </row>
    <row r="224" spans="1:15" hidden="1">
      <c r="A224" s="256">
        <v>45697</v>
      </c>
      <c r="B224" s="257" t="s">
        <v>3064</v>
      </c>
      <c r="C224" s="263" t="s">
        <v>174</v>
      </c>
      <c r="D224" s="258" t="s">
        <v>442</v>
      </c>
      <c r="E224" s="259">
        <v>3000</v>
      </c>
      <c r="F224" s="259">
        <v>5.0319275804982615</v>
      </c>
      <c r="G224" s="260">
        <v>579.25099999999998</v>
      </c>
      <c r="H224" s="261" t="s">
        <v>317</v>
      </c>
      <c r="I224" s="261" t="s">
        <v>746</v>
      </c>
      <c r="J224" s="261" t="s">
        <v>98</v>
      </c>
      <c r="K224" s="265" t="s">
        <v>202</v>
      </c>
      <c r="L224" s="261" t="s">
        <v>2085</v>
      </c>
      <c r="M224" s="257"/>
      <c r="N224" s="257"/>
      <c r="O224" s="257"/>
    </row>
    <row r="225" spans="1:15" hidden="1">
      <c r="A225" s="256">
        <v>45698</v>
      </c>
      <c r="B225" s="257" t="s">
        <v>3164</v>
      </c>
      <c r="C225" s="263" t="s">
        <v>177</v>
      </c>
      <c r="D225" s="258" t="s">
        <v>442</v>
      </c>
      <c r="E225" s="259">
        <v>15000</v>
      </c>
      <c r="F225" s="259">
        <v>25.159637902491308</v>
      </c>
      <c r="G225" s="260">
        <v>579.25099999999998</v>
      </c>
      <c r="H225" s="261" t="s">
        <v>184</v>
      </c>
      <c r="I225" s="261" t="s">
        <v>660</v>
      </c>
      <c r="J225" s="261" t="s">
        <v>98</v>
      </c>
      <c r="K225" s="265" t="s">
        <v>202</v>
      </c>
      <c r="L225" s="261" t="s">
        <v>2085</v>
      </c>
      <c r="M225" s="257"/>
      <c r="N225" s="257"/>
      <c r="O225" s="257"/>
    </row>
    <row r="226" spans="1:15" hidden="1">
      <c r="A226" s="256">
        <v>45698</v>
      </c>
      <c r="B226" s="257" t="s">
        <v>3029</v>
      </c>
      <c r="C226" s="263" t="s">
        <v>174</v>
      </c>
      <c r="D226" s="258" t="s">
        <v>442</v>
      </c>
      <c r="E226" s="259">
        <v>5000</v>
      </c>
      <c r="F226" s="259">
        <v>8.3865459674971028</v>
      </c>
      <c r="G226" s="260">
        <v>579.25099999999998</v>
      </c>
      <c r="H226" s="261" t="s">
        <v>184</v>
      </c>
      <c r="I226" s="261" t="s">
        <v>661</v>
      </c>
      <c r="J226" s="261" t="s">
        <v>98</v>
      </c>
      <c r="K226" s="265" t="s">
        <v>202</v>
      </c>
      <c r="L226" s="261" t="s">
        <v>2085</v>
      </c>
      <c r="M226" s="257"/>
      <c r="N226" s="257"/>
      <c r="O226" s="257"/>
    </row>
    <row r="227" spans="1:15" hidden="1">
      <c r="A227" s="256">
        <v>45698</v>
      </c>
      <c r="B227" s="257" t="s">
        <v>3082</v>
      </c>
      <c r="C227" s="263" t="s">
        <v>177</v>
      </c>
      <c r="D227" s="258" t="s">
        <v>442</v>
      </c>
      <c r="E227" s="259">
        <v>60000</v>
      </c>
      <c r="F227" s="259">
        <v>100.63855160996523</v>
      </c>
      <c r="G227" s="260">
        <v>579.25099999999998</v>
      </c>
      <c r="H227" s="261" t="s">
        <v>175</v>
      </c>
      <c r="I227" s="261" t="s">
        <v>674</v>
      </c>
      <c r="J227" s="261" t="s">
        <v>98</v>
      </c>
      <c r="K227" s="265" t="s">
        <v>202</v>
      </c>
      <c r="L227" s="261" t="s">
        <v>2085</v>
      </c>
      <c r="M227" s="257"/>
      <c r="N227" s="257"/>
      <c r="O227" s="257"/>
    </row>
    <row r="228" spans="1:15" hidden="1">
      <c r="A228" s="256">
        <v>45698</v>
      </c>
      <c r="B228" s="257" t="s">
        <v>3180</v>
      </c>
      <c r="C228" s="263" t="s">
        <v>174</v>
      </c>
      <c r="D228" s="258" t="s">
        <v>442</v>
      </c>
      <c r="E228" s="259">
        <v>3000</v>
      </c>
      <c r="F228" s="259">
        <v>5.0319275804982615</v>
      </c>
      <c r="G228" s="260">
        <v>579.25099999999998</v>
      </c>
      <c r="H228" s="261" t="s">
        <v>175</v>
      </c>
      <c r="I228" s="261" t="s">
        <v>675</v>
      </c>
      <c r="J228" s="261" t="s">
        <v>98</v>
      </c>
      <c r="K228" s="265" t="s">
        <v>202</v>
      </c>
      <c r="L228" s="261" t="s">
        <v>2085</v>
      </c>
      <c r="M228" s="257"/>
      <c r="N228" s="257"/>
      <c r="O228" s="257"/>
    </row>
    <row r="229" spans="1:15" hidden="1">
      <c r="A229" s="256">
        <v>45698</v>
      </c>
      <c r="B229" s="257" t="s">
        <v>554</v>
      </c>
      <c r="C229" s="264" t="s">
        <v>2086</v>
      </c>
      <c r="D229" s="257" t="s">
        <v>118</v>
      </c>
      <c r="E229" s="259">
        <v>4110</v>
      </c>
      <c r="F229" s="259">
        <v>6.8937407852826187</v>
      </c>
      <c r="G229" s="260">
        <v>579.25099999999998</v>
      </c>
      <c r="H229" s="261" t="s">
        <v>193</v>
      </c>
      <c r="I229" s="261" t="s">
        <v>555</v>
      </c>
      <c r="J229" s="261" t="s">
        <v>98</v>
      </c>
      <c r="K229" s="265" t="s">
        <v>202</v>
      </c>
      <c r="L229" s="261" t="s">
        <v>2085</v>
      </c>
      <c r="M229" s="257"/>
      <c r="N229" s="257"/>
      <c r="O229" s="257"/>
    </row>
    <row r="230" spans="1:15" hidden="1">
      <c r="A230" s="256">
        <v>45699</v>
      </c>
      <c r="B230" s="257" t="s">
        <v>558</v>
      </c>
      <c r="C230" s="257" t="s">
        <v>127</v>
      </c>
      <c r="D230" s="257" t="s">
        <v>118</v>
      </c>
      <c r="E230" s="259">
        <v>94430</v>
      </c>
      <c r="F230" s="259">
        <v>158.38830714215027</v>
      </c>
      <c r="G230" s="260">
        <v>579.25099999999998</v>
      </c>
      <c r="H230" s="261" t="s">
        <v>157</v>
      </c>
      <c r="I230" s="261" t="s">
        <v>559</v>
      </c>
      <c r="J230" s="261" t="s">
        <v>98</v>
      </c>
      <c r="K230" s="265" t="s">
        <v>202</v>
      </c>
      <c r="L230" s="261" t="s">
        <v>2085</v>
      </c>
      <c r="M230" s="257"/>
      <c r="N230" s="257"/>
      <c r="O230" s="257"/>
    </row>
    <row r="231" spans="1:15" hidden="1">
      <c r="A231" s="256">
        <v>45699</v>
      </c>
      <c r="B231" s="257" t="s">
        <v>560</v>
      </c>
      <c r="C231" s="257" t="s">
        <v>127</v>
      </c>
      <c r="D231" s="258" t="s">
        <v>117</v>
      </c>
      <c r="E231" s="259">
        <v>30000</v>
      </c>
      <c r="F231" s="259">
        <v>50.319275804982617</v>
      </c>
      <c r="G231" s="260">
        <v>579.25099999999998</v>
      </c>
      <c r="H231" s="261" t="s">
        <v>157</v>
      </c>
      <c r="I231" s="261" t="s">
        <v>561</v>
      </c>
      <c r="J231" s="261" t="s">
        <v>98</v>
      </c>
      <c r="K231" s="265" t="s">
        <v>202</v>
      </c>
      <c r="L231" s="261" t="s">
        <v>2085</v>
      </c>
      <c r="M231" s="257"/>
      <c r="N231" s="257"/>
      <c r="O231" s="257"/>
    </row>
    <row r="232" spans="1:15" hidden="1">
      <c r="A232" s="256">
        <v>45699</v>
      </c>
      <c r="B232" s="257" t="s">
        <v>562</v>
      </c>
      <c r="C232" s="257" t="s">
        <v>127</v>
      </c>
      <c r="D232" s="258" t="s">
        <v>117</v>
      </c>
      <c r="E232" s="259">
        <v>30000</v>
      </c>
      <c r="F232" s="259">
        <v>50.319275804982617</v>
      </c>
      <c r="G232" s="260">
        <v>579.25099999999998</v>
      </c>
      <c r="H232" s="261" t="s">
        <v>157</v>
      </c>
      <c r="I232" s="261" t="s">
        <v>563</v>
      </c>
      <c r="J232" s="261" t="s">
        <v>98</v>
      </c>
      <c r="K232" s="265" t="s">
        <v>202</v>
      </c>
      <c r="L232" s="261" t="s">
        <v>2085</v>
      </c>
      <c r="M232" s="257"/>
      <c r="N232" s="257"/>
      <c r="O232" s="257"/>
    </row>
    <row r="233" spans="1:15" hidden="1">
      <c r="A233" s="256">
        <v>45699</v>
      </c>
      <c r="B233" s="257" t="s">
        <v>564</v>
      </c>
      <c r="C233" s="257" t="s">
        <v>127</v>
      </c>
      <c r="D233" s="258" t="s">
        <v>117</v>
      </c>
      <c r="E233" s="259">
        <v>30000</v>
      </c>
      <c r="F233" s="259">
        <v>50.319275804982617</v>
      </c>
      <c r="G233" s="260">
        <v>579.25099999999998</v>
      </c>
      <c r="H233" s="261" t="s">
        <v>157</v>
      </c>
      <c r="I233" s="261" t="s">
        <v>565</v>
      </c>
      <c r="J233" s="261" t="s">
        <v>98</v>
      </c>
      <c r="K233" s="265" t="s">
        <v>202</v>
      </c>
      <c r="L233" s="261" t="s">
        <v>2085</v>
      </c>
      <c r="M233" s="257"/>
      <c r="N233" s="257"/>
      <c r="O233" s="257"/>
    </row>
    <row r="234" spans="1:15" hidden="1">
      <c r="A234" s="256">
        <v>45699</v>
      </c>
      <c r="B234" s="257" t="s">
        <v>566</v>
      </c>
      <c r="C234" s="257" t="s">
        <v>127</v>
      </c>
      <c r="D234" s="258" t="s">
        <v>117</v>
      </c>
      <c r="E234" s="259">
        <v>30000</v>
      </c>
      <c r="F234" s="259">
        <v>50.319275804982617</v>
      </c>
      <c r="G234" s="260">
        <v>579.25099999999998</v>
      </c>
      <c r="H234" s="261" t="s">
        <v>157</v>
      </c>
      <c r="I234" s="261" t="s">
        <v>567</v>
      </c>
      <c r="J234" s="261" t="s">
        <v>98</v>
      </c>
      <c r="K234" s="265" t="s">
        <v>202</v>
      </c>
      <c r="L234" s="261" t="s">
        <v>2085</v>
      </c>
      <c r="M234" s="257"/>
      <c r="N234" s="257"/>
      <c r="O234" s="257"/>
    </row>
    <row r="235" spans="1:15" hidden="1">
      <c r="A235" s="256">
        <v>45699</v>
      </c>
      <c r="B235" s="257" t="s">
        <v>568</v>
      </c>
      <c r="C235" s="257" t="s">
        <v>127</v>
      </c>
      <c r="D235" s="257" t="s">
        <v>120</v>
      </c>
      <c r="E235" s="259">
        <v>30000</v>
      </c>
      <c r="F235" s="259">
        <v>50.319275804982617</v>
      </c>
      <c r="G235" s="260">
        <v>579.25099999999998</v>
      </c>
      <c r="H235" s="261" t="s">
        <v>157</v>
      </c>
      <c r="I235" s="261" t="s">
        <v>569</v>
      </c>
      <c r="J235" s="261" t="s">
        <v>98</v>
      </c>
      <c r="K235" s="265" t="s">
        <v>202</v>
      </c>
      <c r="L235" s="261" t="s">
        <v>2085</v>
      </c>
      <c r="M235" s="257"/>
      <c r="N235" s="257"/>
      <c r="O235" s="257"/>
    </row>
    <row r="236" spans="1:15" hidden="1">
      <c r="A236" s="256">
        <v>45699</v>
      </c>
      <c r="B236" s="257" t="s">
        <v>570</v>
      </c>
      <c r="C236" s="257" t="s">
        <v>265</v>
      </c>
      <c r="D236" s="257" t="s">
        <v>2087</v>
      </c>
      <c r="E236" s="259">
        <v>35000</v>
      </c>
      <c r="F236" s="259">
        <v>58.705821772479716</v>
      </c>
      <c r="G236" s="260">
        <v>579.25099999999998</v>
      </c>
      <c r="H236" s="261" t="s">
        <v>157</v>
      </c>
      <c r="I236" s="261" t="s">
        <v>571</v>
      </c>
      <c r="J236" s="261" t="s">
        <v>98</v>
      </c>
      <c r="K236" s="265" t="s">
        <v>202</v>
      </c>
      <c r="L236" s="261" t="s">
        <v>2085</v>
      </c>
      <c r="M236" s="257"/>
      <c r="N236" s="257"/>
      <c r="O236" s="257"/>
    </row>
    <row r="237" spans="1:15" hidden="1">
      <c r="A237" s="256">
        <v>45699</v>
      </c>
      <c r="B237" s="257" t="s">
        <v>572</v>
      </c>
      <c r="C237" s="257" t="s">
        <v>265</v>
      </c>
      <c r="D237" s="257" t="s">
        <v>2087</v>
      </c>
      <c r="E237" s="259">
        <v>30000</v>
      </c>
      <c r="F237" s="259">
        <v>50.319275804982617</v>
      </c>
      <c r="G237" s="260">
        <v>579.25099999999998</v>
      </c>
      <c r="H237" s="261" t="s">
        <v>157</v>
      </c>
      <c r="I237" s="261" t="s">
        <v>573</v>
      </c>
      <c r="J237" s="261" t="s">
        <v>98</v>
      </c>
      <c r="K237" s="265" t="s">
        <v>202</v>
      </c>
      <c r="L237" s="261" t="s">
        <v>2085</v>
      </c>
      <c r="M237" s="257"/>
      <c r="N237" s="257"/>
      <c r="O237" s="257"/>
    </row>
    <row r="238" spans="1:15" hidden="1">
      <c r="A238" s="256">
        <v>45699</v>
      </c>
      <c r="B238" s="257" t="s">
        <v>574</v>
      </c>
      <c r="C238" s="257" t="s">
        <v>265</v>
      </c>
      <c r="D238" s="257" t="s">
        <v>2087</v>
      </c>
      <c r="E238" s="259">
        <v>30000</v>
      </c>
      <c r="F238" s="259">
        <v>50.319275804982617</v>
      </c>
      <c r="G238" s="260">
        <v>579.25099999999998</v>
      </c>
      <c r="H238" s="261" t="s">
        <v>157</v>
      </c>
      <c r="I238" s="261" t="s">
        <v>575</v>
      </c>
      <c r="J238" s="261" t="s">
        <v>98</v>
      </c>
      <c r="K238" s="265" t="s">
        <v>202</v>
      </c>
      <c r="L238" s="261" t="s">
        <v>2085</v>
      </c>
      <c r="M238" s="257"/>
      <c r="N238" s="257"/>
      <c r="O238" s="257"/>
    </row>
    <row r="239" spans="1:15" hidden="1">
      <c r="A239" s="256">
        <v>45699</v>
      </c>
      <c r="B239" s="257" t="s">
        <v>576</v>
      </c>
      <c r="C239" s="257" t="s">
        <v>265</v>
      </c>
      <c r="D239" s="257" t="s">
        <v>2087</v>
      </c>
      <c r="E239" s="259">
        <v>30000</v>
      </c>
      <c r="F239" s="259">
        <v>50.319275804982617</v>
      </c>
      <c r="G239" s="260">
        <v>579.25099999999998</v>
      </c>
      <c r="H239" s="261" t="s">
        <v>157</v>
      </c>
      <c r="I239" s="261" t="s">
        <v>577</v>
      </c>
      <c r="J239" s="261" t="s">
        <v>98</v>
      </c>
      <c r="K239" s="265" t="s">
        <v>202</v>
      </c>
      <c r="L239" s="261" t="s">
        <v>2085</v>
      </c>
      <c r="M239" s="257"/>
      <c r="N239" s="257"/>
      <c r="O239" s="257"/>
    </row>
    <row r="240" spans="1:15" hidden="1">
      <c r="A240" s="256">
        <v>45699</v>
      </c>
      <c r="B240" s="257" t="s">
        <v>3196</v>
      </c>
      <c r="C240" s="263" t="s">
        <v>177</v>
      </c>
      <c r="D240" s="258" t="s">
        <v>442</v>
      </c>
      <c r="E240" s="259">
        <v>45000</v>
      </c>
      <c r="F240" s="259">
        <v>75.478913707473922</v>
      </c>
      <c r="G240" s="260">
        <v>579.25099999999998</v>
      </c>
      <c r="H240" s="261" t="s">
        <v>323</v>
      </c>
      <c r="I240" s="261" t="s">
        <v>686</v>
      </c>
      <c r="J240" s="261" t="s">
        <v>98</v>
      </c>
      <c r="K240" s="265" t="s">
        <v>202</v>
      </c>
      <c r="L240" s="261" t="s">
        <v>2085</v>
      </c>
      <c r="M240" s="257"/>
      <c r="N240" s="257"/>
      <c r="O240" s="257"/>
    </row>
    <row r="241" spans="1:15" hidden="1">
      <c r="A241" s="256">
        <v>45699</v>
      </c>
      <c r="B241" s="257" t="s">
        <v>3192</v>
      </c>
      <c r="C241" s="263" t="s">
        <v>174</v>
      </c>
      <c r="D241" s="258" t="s">
        <v>442</v>
      </c>
      <c r="E241" s="259">
        <v>4000</v>
      </c>
      <c r="F241" s="259">
        <v>6.7092367739976817</v>
      </c>
      <c r="G241" s="260">
        <v>579.25099999999998</v>
      </c>
      <c r="H241" s="261" t="s">
        <v>323</v>
      </c>
      <c r="I241" s="261" t="s">
        <v>687</v>
      </c>
      <c r="J241" s="261" t="s">
        <v>98</v>
      </c>
      <c r="K241" s="265" t="s">
        <v>202</v>
      </c>
      <c r="L241" s="261" t="s">
        <v>2085</v>
      </c>
      <c r="M241" s="257"/>
      <c r="N241" s="257"/>
      <c r="O241" s="257"/>
    </row>
    <row r="242" spans="1:15" hidden="1">
      <c r="A242" s="256">
        <v>45699</v>
      </c>
      <c r="B242" s="257" t="s">
        <v>3197</v>
      </c>
      <c r="C242" s="263" t="s">
        <v>174</v>
      </c>
      <c r="D242" s="258" t="s">
        <v>442</v>
      </c>
      <c r="E242" s="259">
        <v>3000</v>
      </c>
      <c r="F242" s="259">
        <v>4.8874119492008914</v>
      </c>
      <c r="G242" s="260">
        <v>613.82180000000005</v>
      </c>
      <c r="H242" s="261" t="s">
        <v>323</v>
      </c>
      <c r="I242" s="261" t="s">
        <v>688</v>
      </c>
      <c r="J242" s="261" t="s">
        <v>98</v>
      </c>
      <c r="K242" s="261" t="s">
        <v>439</v>
      </c>
      <c r="L242" s="261" t="s">
        <v>2085</v>
      </c>
      <c r="M242" s="257"/>
      <c r="N242" s="257"/>
      <c r="O242" s="257"/>
    </row>
    <row r="243" spans="1:15" hidden="1">
      <c r="A243" s="256">
        <v>45699</v>
      </c>
      <c r="B243" s="257" t="s">
        <v>505</v>
      </c>
      <c r="C243" s="263" t="s">
        <v>174</v>
      </c>
      <c r="D243" s="258" t="s">
        <v>117</v>
      </c>
      <c r="E243" s="259">
        <v>7000</v>
      </c>
      <c r="F243" s="259">
        <v>11.403961214802081</v>
      </c>
      <c r="G243" s="260">
        <v>613.82180000000005</v>
      </c>
      <c r="H243" s="261" t="s">
        <v>190</v>
      </c>
      <c r="I243" s="261" t="s">
        <v>506</v>
      </c>
      <c r="J243" s="261" t="s">
        <v>98</v>
      </c>
      <c r="K243" s="261" t="s">
        <v>439</v>
      </c>
      <c r="L243" s="261" t="s">
        <v>2085</v>
      </c>
      <c r="M243" s="257"/>
      <c r="N243" s="257"/>
      <c r="O243" s="257"/>
    </row>
    <row r="244" spans="1:15" hidden="1">
      <c r="A244" s="256">
        <v>45699</v>
      </c>
      <c r="B244" s="257" t="s">
        <v>507</v>
      </c>
      <c r="C244" s="257" t="s">
        <v>256</v>
      </c>
      <c r="D244" s="258" t="s">
        <v>117</v>
      </c>
      <c r="E244" s="259">
        <v>70000</v>
      </c>
      <c r="F244" s="259">
        <v>117.41164354495943</v>
      </c>
      <c r="G244" s="260">
        <v>579.25099999999998</v>
      </c>
      <c r="H244" s="261" t="s">
        <v>190</v>
      </c>
      <c r="I244" s="261" t="s">
        <v>508</v>
      </c>
      <c r="J244" s="261" t="s">
        <v>98</v>
      </c>
      <c r="K244" s="265" t="s">
        <v>202</v>
      </c>
      <c r="L244" s="261" t="s">
        <v>2085</v>
      </c>
      <c r="M244" s="257"/>
      <c r="N244" s="257"/>
      <c r="O244" s="257"/>
    </row>
    <row r="245" spans="1:15" hidden="1">
      <c r="A245" s="256">
        <v>45699</v>
      </c>
      <c r="B245" s="257" t="s">
        <v>481</v>
      </c>
      <c r="C245" s="257" t="s">
        <v>256</v>
      </c>
      <c r="D245" s="258" t="s">
        <v>117</v>
      </c>
      <c r="E245" s="259">
        <v>200000</v>
      </c>
      <c r="F245" s="259">
        <v>335.46183869988408</v>
      </c>
      <c r="G245" s="260">
        <v>579.25099999999998</v>
      </c>
      <c r="H245" s="261" t="s">
        <v>148</v>
      </c>
      <c r="I245" s="261" t="s">
        <v>482</v>
      </c>
      <c r="J245" s="261" t="s">
        <v>98</v>
      </c>
      <c r="K245" s="265" t="s">
        <v>202</v>
      </c>
      <c r="L245" s="261" t="s">
        <v>2085</v>
      </c>
      <c r="M245" s="257"/>
      <c r="N245" s="257"/>
      <c r="O245" s="257"/>
    </row>
    <row r="246" spans="1:15" hidden="1">
      <c r="A246" s="256">
        <v>45699</v>
      </c>
      <c r="B246" s="257" t="s">
        <v>556</v>
      </c>
      <c r="C246" s="264" t="s">
        <v>2086</v>
      </c>
      <c r="D246" s="257" t="s">
        <v>118</v>
      </c>
      <c r="E246" s="259">
        <v>6720</v>
      </c>
      <c r="F246" s="259">
        <v>11.271517780316106</v>
      </c>
      <c r="G246" s="260">
        <v>596.19299999999998</v>
      </c>
      <c r="H246" s="261" t="s">
        <v>193</v>
      </c>
      <c r="I246" s="261" t="s">
        <v>557</v>
      </c>
      <c r="J246" s="261" t="s">
        <v>98</v>
      </c>
      <c r="K246" s="261" t="s">
        <v>1901</v>
      </c>
      <c r="L246" s="261" t="s">
        <v>2085</v>
      </c>
      <c r="M246" s="257"/>
      <c r="N246" s="257"/>
      <c r="O246" s="257"/>
    </row>
    <row r="247" spans="1:15" hidden="1">
      <c r="A247" s="256">
        <v>45700</v>
      </c>
      <c r="B247" s="257" t="s">
        <v>3176</v>
      </c>
      <c r="C247" s="263" t="s">
        <v>177</v>
      </c>
      <c r="D247" s="258" t="s">
        <v>442</v>
      </c>
      <c r="E247" s="259">
        <v>45000</v>
      </c>
      <c r="F247" s="259">
        <v>75.478913707473922</v>
      </c>
      <c r="G247" s="260">
        <v>596.19299999999998</v>
      </c>
      <c r="H247" s="261" t="s">
        <v>317</v>
      </c>
      <c r="I247" s="261" t="s">
        <v>747</v>
      </c>
      <c r="J247" s="261" t="s">
        <v>98</v>
      </c>
      <c r="K247" s="261" t="s">
        <v>1901</v>
      </c>
      <c r="L247" s="261" t="s">
        <v>2085</v>
      </c>
      <c r="M247" s="257"/>
      <c r="N247" s="257"/>
      <c r="O247" s="257"/>
    </row>
    <row r="248" spans="1:15" hidden="1">
      <c r="A248" s="256">
        <v>45700</v>
      </c>
      <c r="B248" s="257" t="s">
        <v>3066</v>
      </c>
      <c r="C248" s="263" t="s">
        <v>174</v>
      </c>
      <c r="D248" s="258" t="s">
        <v>442</v>
      </c>
      <c r="E248" s="259">
        <v>7000</v>
      </c>
      <c r="F248" s="259">
        <v>11.741164354495943</v>
      </c>
      <c r="G248" s="260">
        <v>596.19299999999998</v>
      </c>
      <c r="H248" s="261" t="s">
        <v>317</v>
      </c>
      <c r="I248" s="261" t="s">
        <v>747</v>
      </c>
      <c r="J248" s="261" t="s">
        <v>98</v>
      </c>
      <c r="K248" s="261" t="s">
        <v>1901</v>
      </c>
      <c r="L248" s="261" t="s">
        <v>2085</v>
      </c>
      <c r="M248" s="257"/>
      <c r="N248" s="257"/>
      <c r="O248" s="257"/>
    </row>
    <row r="249" spans="1:15" hidden="1">
      <c r="A249" s="256">
        <v>45700</v>
      </c>
      <c r="B249" s="257" t="s">
        <v>2089</v>
      </c>
      <c r="C249" s="263" t="s">
        <v>177</v>
      </c>
      <c r="D249" s="258" t="s">
        <v>117</v>
      </c>
      <c r="E249" s="259">
        <v>170000</v>
      </c>
      <c r="F249" s="259">
        <v>285.14256289490152</v>
      </c>
      <c r="G249" s="260">
        <v>596.19299999999998</v>
      </c>
      <c r="H249" s="261" t="s">
        <v>190</v>
      </c>
      <c r="I249" s="261" t="s">
        <v>509</v>
      </c>
      <c r="J249" s="261" t="s">
        <v>98</v>
      </c>
      <c r="K249" s="261" t="s">
        <v>1901</v>
      </c>
      <c r="L249" s="261" t="s">
        <v>2085</v>
      </c>
      <c r="M249" s="257"/>
      <c r="N249" s="257"/>
      <c r="O249" s="257"/>
    </row>
    <row r="250" spans="1:15" hidden="1">
      <c r="A250" s="256">
        <v>45700</v>
      </c>
      <c r="B250" s="257" t="s">
        <v>717</v>
      </c>
      <c r="C250" s="263" t="s">
        <v>174</v>
      </c>
      <c r="D250" s="258" t="s">
        <v>117</v>
      </c>
      <c r="E250" s="259">
        <v>8000</v>
      </c>
      <c r="F250" s="259">
        <v>13.418473547995363</v>
      </c>
      <c r="G250" s="260">
        <v>596.19299999999998</v>
      </c>
      <c r="H250" s="261" t="s">
        <v>193</v>
      </c>
      <c r="I250" s="261" t="s">
        <v>718</v>
      </c>
      <c r="J250" s="261" t="s">
        <v>98</v>
      </c>
      <c r="K250" s="261" t="s">
        <v>1901</v>
      </c>
      <c r="L250" s="261" t="s">
        <v>2085</v>
      </c>
      <c r="M250" s="257"/>
      <c r="N250" s="257"/>
      <c r="O250" s="257"/>
    </row>
    <row r="251" spans="1:15" hidden="1">
      <c r="A251" s="256">
        <v>45700</v>
      </c>
      <c r="B251" s="257" t="s">
        <v>192</v>
      </c>
      <c r="C251" s="264" t="s">
        <v>2086</v>
      </c>
      <c r="D251" s="257" t="s">
        <v>118</v>
      </c>
      <c r="E251" s="259">
        <v>1980</v>
      </c>
      <c r="F251" s="259">
        <v>3.3210722031288529</v>
      </c>
      <c r="G251" s="260">
        <v>596.19299999999998</v>
      </c>
      <c r="H251" s="261" t="s">
        <v>193</v>
      </c>
      <c r="I251" s="261" t="s">
        <v>578</v>
      </c>
      <c r="J251" s="261" t="s">
        <v>98</v>
      </c>
      <c r="K251" s="261" t="s">
        <v>1901</v>
      </c>
      <c r="L251" s="261" t="s">
        <v>2085</v>
      </c>
      <c r="M251" s="257"/>
      <c r="N251" s="257"/>
      <c r="O251" s="257"/>
    </row>
    <row r="252" spans="1:15" hidden="1">
      <c r="A252" s="256">
        <v>45700</v>
      </c>
      <c r="B252" s="257" t="s">
        <v>579</v>
      </c>
      <c r="C252" s="257" t="s">
        <v>256</v>
      </c>
      <c r="D252" s="258" t="s">
        <v>117</v>
      </c>
      <c r="E252" s="259">
        <v>80000</v>
      </c>
      <c r="F252" s="259">
        <v>134.18473547995364</v>
      </c>
      <c r="G252" s="260">
        <v>596.19299999999998</v>
      </c>
      <c r="H252" s="261" t="s">
        <v>193</v>
      </c>
      <c r="I252" s="261" t="s">
        <v>580</v>
      </c>
      <c r="J252" s="261" t="s">
        <v>98</v>
      </c>
      <c r="K252" s="261" t="s">
        <v>1901</v>
      </c>
      <c r="L252" s="261" t="s">
        <v>2085</v>
      </c>
      <c r="M252" s="257"/>
      <c r="N252" s="257"/>
      <c r="O252" s="257"/>
    </row>
    <row r="253" spans="1:15" hidden="1">
      <c r="A253" s="256">
        <v>45701</v>
      </c>
      <c r="B253" s="257" t="s">
        <v>768</v>
      </c>
      <c r="C253" s="257" t="s">
        <v>127</v>
      </c>
      <c r="D253" s="258" t="s">
        <v>119</v>
      </c>
      <c r="E253" s="259">
        <v>129464</v>
      </c>
      <c r="F253" s="259">
        <v>217.15115742720897</v>
      </c>
      <c r="G253" s="260">
        <v>596.19299999999998</v>
      </c>
      <c r="H253" s="261" t="s">
        <v>157</v>
      </c>
      <c r="I253" s="261" t="s">
        <v>581</v>
      </c>
      <c r="J253" s="261" t="s">
        <v>98</v>
      </c>
      <c r="K253" s="261" t="s">
        <v>1901</v>
      </c>
      <c r="L253" s="261" t="s">
        <v>2085</v>
      </c>
      <c r="M253" s="257"/>
      <c r="N253" s="257"/>
      <c r="O253" s="257"/>
    </row>
    <row r="254" spans="1:15" hidden="1">
      <c r="A254" s="256">
        <v>45701</v>
      </c>
      <c r="B254" s="257" t="s">
        <v>773</v>
      </c>
      <c r="C254" s="257" t="s">
        <v>127</v>
      </c>
      <c r="D254" s="258" t="s">
        <v>119</v>
      </c>
      <c r="E254" s="259">
        <v>80500</v>
      </c>
      <c r="F254" s="259">
        <v>135.02339007670335</v>
      </c>
      <c r="G254" s="260">
        <v>596.19299999999998</v>
      </c>
      <c r="H254" s="261" t="s">
        <v>157</v>
      </c>
      <c r="I254" s="261" t="s">
        <v>582</v>
      </c>
      <c r="J254" s="261" t="s">
        <v>98</v>
      </c>
      <c r="K254" s="261" t="s">
        <v>1901</v>
      </c>
      <c r="L254" s="261" t="s">
        <v>2085</v>
      </c>
      <c r="M254" s="257"/>
      <c r="N254" s="257"/>
      <c r="O254" s="257"/>
    </row>
    <row r="255" spans="1:15" hidden="1">
      <c r="A255" s="256">
        <v>45701</v>
      </c>
      <c r="B255" s="257" t="s">
        <v>3198</v>
      </c>
      <c r="C255" s="263" t="s">
        <v>177</v>
      </c>
      <c r="D255" s="258" t="s">
        <v>442</v>
      </c>
      <c r="E255" s="259">
        <v>30000</v>
      </c>
      <c r="F255" s="259">
        <v>50.319275804982617</v>
      </c>
      <c r="G255" s="260">
        <v>596.19299999999998</v>
      </c>
      <c r="H255" s="261" t="s">
        <v>323</v>
      </c>
      <c r="I255" s="261" t="s">
        <v>689</v>
      </c>
      <c r="J255" s="261" t="s">
        <v>98</v>
      </c>
      <c r="K255" s="261" t="s">
        <v>1901</v>
      </c>
      <c r="L255" s="261" t="s">
        <v>2085</v>
      </c>
      <c r="M255" s="257"/>
      <c r="N255" s="257"/>
      <c r="O255" s="257"/>
    </row>
    <row r="256" spans="1:15" hidden="1">
      <c r="A256" s="256">
        <v>45701</v>
      </c>
      <c r="B256" s="257" t="s">
        <v>3199</v>
      </c>
      <c r="C256" s="263" t="s">
        <v>174</v>
      </c>
      <c r="D256" s="258" t="s">
        <v>442</v>
      </c>
      <c r="E256" s="259">
        <v>3000</v>
      </c>
      <c r="F256" s="259">
        <v>5.0319275804982615</v>
      </c>
      <c r="G256" s="260">
        <v>596.19299999999998</v>
      </c>
      <c r="H256" s="261" t="s">
        <v>323</v>
      </c>
      <c r="I256" s="261" t="s">
        <v>690</v>
      </c>
      <c r="J256" s="261" t="s">
        <v>98</v>
      </c>
      <c r="K256" s="261" t="s">
        <v>1901</v>
      </c>
      <c r="L256" s="261" t="s">
        <v>2085</v>
      </c>
      <c r="M256" s="257"/>
      <c r="N256" s="257"/>
      <c r="O256" s="257"/>
    </row>
    <row r="257" spans="1:15" hidden="1">
      <c r="A257" s="256">
        <v>45701</v>
      </c>
      <c r="B257" s="257" t="s">
        <v>719</v>
      </c>
      <c r="C257" s="263" t="s">
        <v>177</v>
      </c>
      <c r="D257" s="258" t="s">
        <v>117</v>
      </c>
      <c r="E257" s="259">
        <v>20000</v>
      </c>
      <c r="F257" s="259">
        <v>32.582746328005946</v>
      </c>
      <c r="G257" s="260">
        <v>613.82180000000005</v>
      </c>
      <c r="H257" s="261" t="s">
        <v>193</v>
      </c>
      <c r="I257" s="261" t="s">
        <v>720</v>
      </c>
      <c r="J257" s="261" t="s">
        <v>98</v>
      </c>
      <c r="K257" s="261" t="s">
        <v>439</v>
      </c>
      <c r="L257" s="261" t="s">
        <v>2085</v>
      </c>
      <c r="M257" s="257"/>
      <c r="N257" s="257"/>
      <c r="O257" s="257"/>
    </row>
    <row r="258" spans="1:15" hidden="1">
      <c r="A258" s="256">
        <v>45701</v>
      </c>
      <c r="B258" s="257" t="s">
        <v>500</v>
      </c>
      <c r="C258" s="263" t="s">
        <v>2088</v>
      </c>
      <c r="D258" s="257" t="s">
        <v>120</v>
      </c>
      <c r="E258" s="259">
        <v>154000</v>
      </c>
      <c r="F258" s="259">
        <v>250.88714672564575</v>
      </c>
      <c r="G258" s="260">
        <v>613.82180000000005</v>
      </c>
      <c r="H258" s="261" t="s">
        <v>213</v>
      </c>
      <c r="I258" s="261" t="s">
        <v>501</v>
      </c>
      <c r="J258" s="261" t="s">
        <v>98</v>
      </c>
      <c r="K258" s="261" t="s">
        <v>439</v>
      </c>
      <c r="L258" s="261" t="s">
        <v>2085</v>
      </c>
      <c r="M258" s="257"/>
      <c r="N258" s="257"/>
      <c r="O258" s="257"/>
    </row>
    <row r="259" spans="1:15" hidden="1">
      <c r="A259" s="256">
        <v>45701</v>
      </c>
      <c r="B259" s="257" t="s">
        <v>483</v>
      </c>
      <c r="C259" s="263" t="s">
        <v>304</v>
      </c>
      <c r="D259" s="257" t="s">
        <v>118</v>
      </c>
      <c r="E259" s="259">
        <v>227686</v>
      </c>
      <c r="F259" s="259">
        <v>381.89982103110907</v>
      </c>
      <c r="G259" s="260">
        <v>596.19299999999998</v>
      </c>
      <c r="H259" s="261" t="s">
        <v>148</v>
      </c>
      <c r="I259" s="261" t="s">
        <v>484</v>
      </c>
      <c r="J259" s="261" t="s">
        <v>98</v>
      </c>
      <c r="K259" s="261" t="s">
        <v>1901</v>
      </c>
      <c r="L259" s="261" t="s">
        <v>2085</v>
      </c>
      <c r="M259" s="257"/>
      <c r="N259" s="257"/>
      <c r="O259" s="257"/>
    </row>
    <row r="260" spans="1:15" hidden="1">
      <c r="A260" s="256">
        <v>45701</v>
      </c>
      <c r="B260" s="257" t="s">
        <v>721</v>
      </c>
      <c r="C260" s="263" t="s">
        <v>174</v>
      </c>
      <c r="D260" s="258" t="s">
        <v>117</v>
      </c>
      <c r="E260" s="259">
        <v>4000</v>
      </c>
      <c r="F260" s="259">
        <v>6.7092367739976817</v>
      </c>
      <c r="G260" s="260">
        <v>579.25099999999998</v>
      </c>
      <c r="H260" s="261" t="s">
        <v>193</v>
      </c>
      <c r="I260" s="261" t="s">
        <v>722</v>
      </c>
      <c r="J260" s="261" t="s">
        <v>98</v>
      </c>
      <c r="K260" s="265" t="s">
        <v>202</v>
      </c>
      <c r="L260" s="261" t="s">
        <v>2085</v>
      </c>
      <c r="M260" s="257"/>
      <c r="N260" s="257"/>
      <c r="O260" s="257"/>
    </row>
    <row r="261" spans="1:15" hidden="1">
      <c r="A261" s="256">
        <v>45702</v>
      </c>
      <c r="B261" s="257" t="s">
        <v>771</v>
      </c>
      <c r="C261" s="263" t="s">
        <v>365</v>
      </c>
      <c r="D261" s="258" t="s">
        <v>442</v>
      </c>
      <c r="E261" s="259">
        <v>30000</v>
      </c>
      <c r="F261" s="259">
        <v>50.319275804982617</v>
      </c>
      <c r="G261" s="260">
        <v>596.19299999999998</v>
      </c>
      <c r="H261" s="261" t="s">
        <v>153</v>
      </c>
      <c r="I261" s="261" t="s">
        <v>634</v>
      </c>
      <c r="J261" s="261" t="s">
        <v>98</v>
      </c>
      <c r="K261" s="261" t="s">
        <v>1901</v>
      </c>
      <c r="L261" s="261" t="s">
        <v>2085</v>
      </c>
      <c r="M261" s="257"/>
      <c r="N261" s="257"/>
      <c r="O261" s="257"/>
    </row>
    <row r="262" spans="1:15" hidden="1">
      <c r="A262" s="256">
        <v>45702</v>
      </c>
      <c r="B262" s="257" t="s">
        <v>635</v>
      </c>
      <c r="C262" s="264" t="s">
        <v>2086</v>
      </c>
      <c r="D262" s="257" t="s">
        <v>118</v>
      </c>
      <c r="E262" s="259">
        <v>1952</v>
      </c>
      <c r="F262" s="259">
        <v>3.2741075457108688</v>
      </c>
      <c r="G262" s="260">
        <v>596.19299999999998</v>
      </c>
      <c r="H262" s="261" t="s">
        <v>153</v>
      </c>
      <c r="I262" s="261" t="s">
        <v>636</v>
      </c>
      <c r="J262" s="261" t="s">
        <v>98</v>
      </c>
      <c r="K262" s="261" t="s">
        <v>1901</v>
      </c>
      <c r="L262" s="261" t="s">
        <v>2085</v>
      </c>
      <c r="M262" s="257"/>
      <c r="N262" s="257"/>
      <c r="O262" s="257"/>
    </row>
    <row r="263" spans="1:15" hidden="1">
      <c r="A263" s="256">
        <v>45702</v>
      </c>
      <c r="B263" s="257" t="s">
        <v>767</v>
      </c>
      <c r="C263" s="263" t="s">
        <v>174</v>
      </c>
      <c r="D263" s="258" t="s">
        <v>119</v>
      </c>
      <c r="E263" s="259">
        <v>7000</v>
      </c>
      <c r="F263" s="259">
        <v>11.403961214802081</v>
      </c>
      <c r="G263" s="260">
        <v>613.82180000000005</v>
      </c>
      <c r="H263" s="261" t="s">
        <v>153</v>
      </c>
      <c r="I263" s="261" t="s">
        <v>637</v>
      </c>
      <c r="J263" s="261" t="s">
        <v>98</v>
      </c>
      <c r="K263" s="261" t="s">
        <v>439</v>
      </c>
      <c r="L263" s="261" t="s">
        <v>2085</v>
      </c>
      <c r="M263" s="257"/>
      <c r="N263" s="257"/>
      <c r="O263" s="257"/>
    </row>
    <row r="264" spans="1:15" hidden="1">
      <c r="A264" s="256">
        <v>45702</v>
      </c>
      <c r="B264" s="257" t="s">
        <v>199</v>
      </c>
      <c r="C264" s="263" t="s">
        <v>174</v>
      </c>
      <c r="D264" s="258" t="s">
        <v>117</v>
      </c>
      <c r="E264" s="259">
        <v>7000</v>
      </c>
      <c r="F264" s="259">
        <v>11.403961214802081</v>
      </c>
      <c r="G264" s="260">
        <v>613.82180000000005</v>
      </c>
      <c r="H264" s="261" t="s">
        <v>200</v>
      </c>
      <c r="I264" s="261" t="s">
        <v>533</v>
      </c>
      <c r="J264" s="261" t="s">
        <v>98</v>
      </c>
      <c r="K264" s="261" t="s">
        <v>439</v>
      </c>
      <c r="L264" s="261" t="s">
        <v>2085</v>
      </c>
      <c r="M264" s="257"/>
      <c r="N264" s="257"/>
      <c r="O264" s="257"/>
    </row>
    <row r="265" spans="1:15" hidden="1">
      <c r="A265" s="256">
        <v>45702</v>
      </c>
      <c r="B265" s="257" t="s">
        <v>587</v>
      </c>
      <c r="C265" s="257" t="s">
        <v>152</v>
      </c>
      <c r="D265" s="258" t="s">
        <v>119</v>
      </c>
      <c r="E265" s="259">
        <v>30000</v>
      </c>
      <c r="F265" s="259">
        <v>48.874119492008916</v>
      </c>
      <c r="G265" s="260">
        <v>613.82180000000005</v>
      </c>
      <c r="H265" s="261" t="s">
        <v>157</v>
      </c>
      <c r="I265" s="261" t="s">
        <v>588</v>
      </c>
      <c r="J265" s="261" t="s">
        <v>98</v>
      </c>
      <c r="K265" s="261" t="s">
        <v>439</v>
      </c>
      <c r="L265" s="261" t="s">
        <v>2085</v>
      </c>
      <c r="M265" s="257"/>
      <c r="N265" s="257"/>
      <c r="O265" s="257"/>
    </row>
    <row r="266" spans="1:15" hidden="1">
      <c r="A266" s="256">
        <v>45702</v>
      </c>
      <c r="B266" s="257" t="s">
        <v>589</v>
      </c>
      <c r="C266" s="257" t="s">
        <v>152</v>
      </c>
      <c r="D266" s="258" t="s">
        <v>117</v>
      </c>
      <c r="E266" s="259">
        <v>30000</v>
      </c>
      <c r="F266" s="259">
        <v>48.874119492008916</v>
      </c>
      <c r="G266" s="260">
        <v>613.82180000000005</v>
      </c>
      <c r="H266" s="261" t="s">
        <v>157</v>
      </c>
      <c r="I266" s="261" t="s">
        <v>590</v>
      </c>
      <c r="J266" s="261" t="s">
        <v>98</v>
      </c>
      <c r="K266" s="261" t="s">
        <v>439</v>
      </c>
      <c r="L266" s="261" t="s">
        <v>2085</v>
      </c>
      <c r="M266" s="257"/>
      <c r="N266" s="257"/>
      <c r="O266" s="257"/>
    </row>
    <row r="267" spans="1:15" hidden="1">
      <c r="A267" s="256">
        <v>45702</v>
      </c>
      <c r="B267" s="257" t="s">
        <v>591</v>
      </c>
      <c r="C267" s="257" t="s">
        <v>152</v>
      </c>
      <c r="D267" s="258" t="s">
        <v>442</v>
      </c>
      <c r="E267" s="259">
        <v>55000</v>
      </c>
      <c r="F267" s="259">
        <v>94.950186542589222</v>
      </c>
      <c r="G267" s="260">
        <v>579.25099999999998</v>
      </c>
      <c r="H267" s="261" t="s">
        <v>157</v>
      </c>
      <c r="I267" s="261" t="s">
        <v>592</v>
      </c>
      <c r="J267" s="261" t="s">
        <v>98</v>
      </c>
      <c r="K267" s="265" t="s">
        <v>202</v>
      </c>
      <c r="L267" s="261" t="s">
        <v>2085</v>
      </c>
      <c r="M267" s="257"/>
      <c r="N267" s="257"/>
      <c r="O267" s="257"/>
    </row>
    <row r="268" spans="1:15" hidden="1">
      <c r="A268" s="256">
        <v>45702</v>
      </c>
      <c r="B268" s="257" t="s">
        <v>593</v>
      </c>
      <c r="C268" s="257" t="s">
        <v>152</v>
      </c>
      <c r="D268" s="257" t="s">
        <v>120</v>
      </c>
      <c r="E268" s="259">
        <v>10000</v>
      </c>
      <c r="F268" s="259">
        <v>16.291373164002973</v>
      </c>
      <c r="G268" s="260">
        <v>613.82180000000005</v>
      </c>
      <c r="H268" s="261" t="s">
        <v>157</v>
      </c>
      <c r="I268" s="261" t="s">
        <v>594</v>
      </c>
      <c r="J268" s="261" t="s">
        <v>98</v>
      </c>
      <c r="K268" s="261" t="s">
        <v>439</v>
      </c>
      <c r="L268" s="261" t="s">
        <v>2085</v>
      </c>
      <c r="M268" s="257"/>
      <c r="N268" s="257"/>
      <c r="O268" s="257"/>
    </row>
    <row r="269" spans="1:15" hidden="1">
      <c r="A269" s="256">
        <v>45702</v>
      </c>
      <c r="B269" s="257" t="s">
        <v>596</v>
      </c>
      <c r="C269" s="257" t="s">
        <v>152</v>
      </c>
      <c r="D269" s="258" t="s">
        <v>117</v>
      </c>
      <c r="E269" s="259">
        <v>10000</v>
      </c>
      <c r="F269" s="259">
        <v>16.291373164002973</v>
      </c>
      <c r="G269" s="260">
        <v>613.82180000000005</v>
      </c>
      <c r="H269" s="261" t="s">
        <v>157</v>
      </c>
      <c r="I269" s="261" t="s">
        <v>595</v>
      </c>
      <c r="J269" s="261" t="s">
        <v>98</v>
      </c>
      <c r="K269" s="261" t="s">
        <v>439</v>
      </c>
      <c r="L269" s="261" t="s">
        <v>2085</v>
      </c>
      <c r="M269" s="257"/>
      <c r="N269" s="257"/>
      <c r="O269" s="257"/>
    </row>
    <row r="270" spans="1:15" hidden="1">
      <c r="A270" s="256">
        <v>45702</v>
      </c>
      <c r="B270" s="257" t="s">
        <v>769</v>
      </c>
      <c r="C270" s="257" t="s">
        <v>152</v>
      </c>
      <c r="D270" s="258" t="s">
        <v>442</v>
      </c>
      <c r="E270" s="259">
        <v>5000</v>
      </c>
      <c r="F270" s="259">
        <v>8.1456865820014865</v>
      </c>
      <c r="G270" s="260">
        <v>613.82180000000005</v>
      </c>
      <c r="H270" s="261" t="s">
        <v>157</v>
      </c>
      <c r="I270" s="261" t="s">
        <v>597</v>
      </c>
      <c r="J270" s="261" t="s">
        <v>98</v>
      </c>
      <c r="K270" s="261" t="s">
        <v>439</v>
      </c>
      <c r="L270" s="261" t="s">
        <v>2085</v>
      </c>
      <c r="M270" s="257"/>
      <c r="N270" s="257"/>
      <c r="O270" s="257"/>
    </row>
    <row r="271" spans="1:15" hidden="1">
      <c r="A271" s="256">
        <v>45702</v>
      </c>
      <c r="B271" s="257" t="s">
        <v>585</v>
      </c>
      <c r="C271" s="264" t="s">
        <v>2086</v>
      </c>
      <c r="D271" s="257" t="s">
        <v>118</v>
      </c>
      <c r="E271" s="259">
        <v>11310</v>
      </c>
      <c r="F271" s="259">
        <v>18.425543048487359</v>
      </c>
      <c r="G271" s="260">
        <v>613.82180000000005</v>
      </c>
      <c r="H271" s="261" t="s">
        <v>583</v>
      </c>
      <c r="I271" s="261" t="s">
        <v>586</v>
      </c>
      <c r="J271" s="261" t="s">
        <v>98</v>
      </c>
      <c r="K271" s="261" t="s">
        <v>439</v>
      </c>
      <c r="L271" s="261" t="s">
        <v>2085</v>
      </c>
      <c r="M271" s="257"/>
      <c r="N271" s="257"/>
      <c r="O271" s="257"/>
    </row>
    <row r="272" spans="1:15" hidden="1">
      <c r="A272" s="256">
        <v>45702</v>
      </c>
      <c r="B272" s="257" t="s">
        <v>691</v>
      </c>
      <c r="C272" s="263" t="s">
        <v>365</v>
      </c>
      <c r="D272" s="258" t="s">
        <v>442</v>
      </c>
      <c r="E272" s="259">
        <v>4000</v>
      </c>
      <c r="F272" s="259">
        <v>6.5165492656011885</v>
      </c>
      <c r="G272" s="260">
        <v>613.82180000000005</v>
      </c>
      <c r="H272" s="261" t="s">
        <v>323</v>
      </c>
      <c r="I272" s="261" t="s">
        <v>692</v>
      </c>
      <c r="J272" s="261" t="s">
        <v>98</v>
      </c>
      <c r="K272" s="261" t="s">
        <v>439</v>
      </c>
      <c r="L272" s="261" t="s">
        <v>2085</v>
      </c>
      <c r="M272" s="257"/>
      <c r="N272" s="257"/>
      <c r="O272" s="257"/>
    </row>
    <row r="273" spans="1:15" hidden="1">
      <c r="A273" s="256">
        <v>45702</v>
      </c>
      <c r="B273" s="257" t="s">
        <v>3199</v>
      </c>
      <c r="C273" s="263" t="s">
        <v>174</v>
      </c>
      <c r="D273" s="258" t="s">
        <v>442</v>
      </c>
      <c r="E273" s="259">
        <v>7000</v>
      </c>
      <c r="F273" s="259">
        <v>11.403961214802081</v>
      </c>
      <c r="G273" s="260">
        <v>613.82180000000005</v>
      </c>
      <c r="H273" s="261" t="s">
        <v>323</v>
      </c>
      <c r="I273" s="261" t="s">
        <v>693</v>
      </c>
      <c r="J273" s="261" t="s">
        <v>98</v>
      </c>
      <c r="K273" s="261" t="s">
        <v>439</v>
      </c>
      <c r="L273" s="261" t="s">
        <v>2085</v>
      </c>
      <c r="M273" s="257"/>
      <c r="N273" s="257"/>
      <c r="O273" s="257"/>
    </row>
    <row r="274" spans="1:15" hidden="1">
      <c r="A274" s="256">
        <v>45702</v>
      </c>
      <c r="B274" s="257" t="s">
        <v>705</v>
      </c>
      <c r="C274" s="263" t="s">
        <v>174</v>
      </c>
      <c r="D274" s="258" t="s">
        <v>117</v>
      </c>
      <c r="E274" s="259">
        <v>7000</v>
      </c>
      <c r="F274" s="259">
        <v>11.403961214802081</v>
      </c>
      <c r="G274" s="260">
        <v>613.82180000000005</v>
      </c>
      <c r="H274" s="261" t="s">
        <v>187</v>
      </c>
      <c r="I274" s="261" t="s">
        <v>706</v>
      </c>
      <c r="J274" s="261" t="s">
        <v>98</v>
      </c>
      <c r="K274" s="261" t="s">
        <v>439</v>
      </c>
      <c r="L274" s="261" t="s">
        <v>2085</v>
      </c>
      <c r="M274" s="257"/>
      <c r="N274" s="257"/>
      <c r="O274" s="257"/>
    </row>
    <row r="275" spans="1:15" hidden="1">
      <c r="A275" s="256">
        <v>45702</v>
      </c>
      <c r="B275" s="257" t="s">
        <v>486</v>
      </c>
      <c r="C275" s="263" t="s">
        <v>174</v>
      </c>
      <c r="D275" s="257" t="s">
        <v>120</v>
      </c>
      <c r="E275" s="259">
        <v>7000</v>
      </c>
      <c r="F275" s="259">
        <v>11.403961214802081</v>
      </c>
      <c r="G275" s="260">
        <v>613.82180000000005</v>
      </c>
      <c r="H275" s="261" t="s">
        <v>213</v>
      </c>
      <c r="I275" s="261" t="s">
        <v>487</v>
      </c>
      <c r="J275" s="261" t="s">
        <v>98</v>
      </c>
      <c r="K275" s="261" t="s">
        <v>439</v>
      </c>
      <c r="L275" s="261" t="s">
        <v>2085</v>
      </c>
      <c r="M275" s="257"/>
      <c r="N275" s="257"/>
      <c r="O275" s="257"/>
    </row>
    <row r="276" spans="1:15" hidden="1">
      <c r="A276" s="256">
        <v>45702</v>
      </c>
      <c r="B276" s="257" t="s">
        <v>723</v>
      </c>
      <c r="C276" s="257" t="s">
        <v>313</v>
      </c>
      <c r="D276" s="258" t="s">
        <v>2087</v>
      </c>
      <c r="E276" s="259">
        <v>20000</v>
      </c>
      <c r="F276" s="259">
        <v>32.582746328005946</v>
      </c>
      <c r="G276" s="260">
        <v>613.82180000000005</v>
      </c>
      <c r="H276" s="261" t="s">
        <v>193</v>
      </c>
      <c r="I276" s="261" t="s">
        <v>724</v>
      </c>
      <c r="J276" s="261" t="s">
        <v>98</v>
      </c>
      <c r="K276" s="261" t="s">
        <v>439</v>
      </c>
      <c r="L276" s="261" t="s">
        <v>2085</v>
      </c>
      <c r="M276" s="257"/>
      <c r="N276" s="257"/>
      <c r="O276" s="257"/>
    </row>
    <row r="277" spans="1:15" hidden="1">
      <c r="A277" s="256">
        <v>45702</v>
      </c>
      <c r="B277" s="257" t="s">
        <v>3066</v>
      </c>
      <c r="C277" s="263" t="s">
        <v>174</v>
      </c>
      <c r="D277" s="258" t="s">
        <v>442</v>
      </c>
      <c r="E277" s="259">
        <v>7000</v>
      </c>
      <c r="F277" s="259">
        <v>11.403961214802081</v>
      </c>
      <c r="G277" s="260">
        <v>613.82180000000005</v>
      </c>
      <c r="H277" s="261" t="s">
        <v>317</v>
      </c>
      <c r="I277" s="261" t="s">
        <v>749</v>
      </c>
      <c r="J277" s="261" t="s">
        <v>98</v>
      </c>
      <c r="K277" s="261" t="s">
        <v>439</v>
      </c>
      <c r="L277" s="261" t="s">
        <v>2085</v>
      </c>
      <c r="M277" s="257"/>
      <c r="N277" s="257"/>
      <c r="O277" s="257"/>
    </row>
    <row r="278" spans="1:15" hidden="1">
      <c r="A278" s="256">
        <v>45703</v>
      </c>
      <c r="B278" s="257" t="s">
        <v>638</v>
      </c>
      <c r="C278" s="263" t="s">
        <v>177</v>
      </c>
      <c r="D278" s="258" t="s">
        <v>119</v>
      </c>
      <c r="E278" s="259">
        <v>100000</v>
      </c>
      <c r="F278" s="259">
        <v>162.91373164002971</v>
      </c>
      <c r="G278" s="260">
        <v>613.82180000000005</v>
      </c>
      <c r="H278" s="261" t="s">
        <v>153</v>
      </c>
      <c r="I278" s="261" t="s">
        <v>639</v>
      </c>
      <c r="J278" s="261" t="s">
        <v>98</v>
      </c>
      <c r="K278" s="261" t="s">
        <v>439</v>
      </c>
      <c r="L278" s="261" t="s">
        <v>2085</v>
      </c>
      <c r="M278" s="257"/>
      <c r="N278" s="257"/>
      <c r="O278" s="257"/>
    </row>
    <row r="279" spans="1:15" hidden="1">
      <c r="A279" s="256">
        <v>45703</v>
      </c>
      <c r="B279" s="257" t="s">
        <v>520</v>
      </c>
      <c r="C279" s="263" t="s">
        <v>177</v>
      </c>
      <c r="D279" s="258" t="s">
        <v>117</v>
      </c>
      <c r="E279" s="259">
        <v>180000</v>
      </c>
      <c r="F279" s="259">
        <v>293.24471695205347</v>
      </c>
      <c r="G279" s="260">
        <v>613.82180000000005</v>
      </c>
      <c r="H279" s="261" t="s">
        <v>200</v>
      </c>
      <c r="I279" s="261" t="s">
        <v>521</v>
      </c>
      <c r="J279" s="261" t="s">
        <v>98</v>
      </c>
      <c r="K279" s="261" t="s">
        <v>439</v>
      </c>
      <c r="L279" s="261" t="s">
        <v>2085</v>
      </c>
      <c r="M279" s="257"/>
      <c r="N279" s="257"/>
      <c r="O279" s="257"/>
    </row>
    <row r="280" spans="1:15" hidden="1">
      <c r="A280" s="256">
        <v>45703</v>
      </c>
      <c r="B280" s="257" t="s">
        <v>3190</v>
      </c>
      <c r="C280" s="263" t="s">
        <v>177</v>
      </c>
      <c r="D280" s="258" t="s">
        <v>442</v>
      </c>
      <c r="E280" s="259">
        <v>70000</v>
      </c>
      <c r="F280" s="259">
        <v>114.03961214802079</v>
      </c>
      <c r="G280" s="260">
        <v>613.82180000000005</v>
      </c>
      <c r="H280" s="261" t="s">
        <v>317</v>
      </c>
      <c r="I280" s="261" t="s">
        <v>748</v>
      </c>
      <c r="J280" s="261" t="s">
        <v>98</v>
      </c>
      <c r="K280" s="261" t="s">
        <v>439</v>
      </c>
      <c r="L280" s="261" t="s">
        <v>2085</v>
      </c>
      <c r="M280" s="257"/>
      <c r="N280" s="257"/>
      <c r="O280" s="257"/>
    </row>
    <row r="281" spans="1:15" hidden="1">
      <c r="A281" s="256">
        <v>45703</v>
      </c>
      <c r="B281" s="257" t="s">
        <v>3200</v>
      </c>
      <c r="C281" s="263" t="s">
        <v>177</v>
      </c>
      <c r="D281" s="258" t="s">
        <v>442</v>
      </c>
      <c r="E281" s="259">
        <v>30000</v>
      </c>
      <c r="F281" s="259">
        <v>48.874119492008916</v>
      </c>
      <c r="G281" s="260">
        <v>613.82180000000005</v>
      </c>
      <c r="H281" s="261" t="s">
        <v>323</v>
      </c>
      <c r="I281" s="261" t="s">
        <v>694</v>
      </c>
      <c r="J281" s="261" t="s">
        <v>98</v>
      </c>
      <c r="K281" s="261" t="s">
        <v>439</v>
      </c>
      <c r="L281" s="261" t="s">
        <v>2085</v>
      </c>
      <c r="M281" s="257"/>
      <c r="N281" s="257"/>
      <c r="O281" s="257"/>
    </row>
    <row r="282" spans="1:15" hidden="1">
      <c r="A282" s="256">
        <v>45703</v>
      </c>
      <c r="B282" s="257" t="s">
        <v>2090</v>
      </c>
      <c r="C282" s="263" t="s">
        <v>177</v>
      </c>
      <c r="D282" s="258" t="s">
        <v>117</v>
      </c>
      <c r="E282" s="259">
        <v>170000</v>
      </c>
      <c r="F282" s="259">
        <v>276.95334378805052</v>
      </c>
      <c r="G282" s="260">
        <v>613.82180000000005</v>
      </c>
      <c r="H282" s="261" t="s">
        <v>187</v>
      </c>
      <c r="I282" s="261" t="s">
        <v>707</v>
      </c>
      <c r="J282" s="261" t="s">
        <v>98</v>
      </c>
      <c r="K282" s="261" t="s">
        <v>439</v>
      </c>
      <c r="L282" s="261" t="s">
        <v>2085</v>
      </c>
      <c r="M282" s="257"/>
      <c r="N282" s="257"/>
      <c r="O282" s="257"/>
    </row>
    <row r="283" spans="1:15" hidden="1">
      <c r="A283" s="256">
        <v>45703</v>
      </c>
      <c r="B283" s="257" t="s">
        <v>510</v>
      </c>
      <c r="C283" s="263" t="s">
        <v>177</v>
      </c>
      <c r="D283" s="258" t="s">
        <v>117</v>
      </c>
      <c r="E283" s="259">
        <v>45000</v>
      </c>
      <c r="F283" s="259">
        <v>73.311179238013366</v>
      </c>
      <c r="G283" s="260">
        <v>613.82180000000005</v>
      </c>
      <c r="H283" s="261" t="s">
        <v>190</v>
      </c>
      <c r="I283" s="261" t="s">
        <v>511</v>
      </c>
      <c r="J283" s="261" t="s">
        <v>98</v>
      </c>
      <c r="K283" s="261" t="s">
        <v>439</v>
      </c>
      <c r="L283" s="261" t="s">
        <v>2085</v>
      </c>
      <c r="M283" s="257"/>
      <c r="N283" s="257"/>
      <c r="O283" s="257"/>
    </row>
    <row r="284" spans="1:15" hidden="1">
      <c r="A284" s="256">
        <v>45703</v>
      </c>
      <c r="B284" s="257" t="s">
        <v>725</v>
      </c>
      <c r="C284" s="263" t="s">
        <v>177</v>
      </c>
      <c r="D284" s="258" t="s">
        <v>117</v>
      </c>
      <c r="E284" s="259">
        <v>30000</v>
      </c>
      <c r="F284" s="259">
        <v>48.874119492008916</v>
      </c>
      <c r="G284" s="260">
        <v>613.82180000000005</v>
      </c>
      <c r="H284" s="261" t="s">
        <v>193</v>
      </c>
      <c r="I284" s="261" t="s">
        <v>726</v>
      </c>
      <c r="J284" s="261" t="s">
        <v>98</v>
      </c>
      <c r="K284" s="261" t="s">
        <v>439</v>
      </c>
      <c r="L284" s="261" t="s">
        <v>2085</v>
      </c>
      <c r="M284" s="257"/>
      <c r="N284" s="257"/>
      <c r="O284" s="257"/>
    </row>
    <row r="285" spans="1:15" hidden="1">
      <c r="A285" s="256">
        <v>45703</v>
      </c>
      <c r="B285" s="257" t="s">
        <v>727</v>
      </c>
      <c r="C285" s="263" t="s">
        <v>174</v>
      </c>
      <c r="D285" s="258" t="s">
        <v>117</v>
      </c>
      <c r="E285" s="259">
        <v>4000</v>
      </c>
      <c r="F285" s="259">
        <v>6.5165492656011885</v>
      </c>
      <c r="G285" s="260">
        <v>613.82180000000005</v>
      </c>
      <c r="H285" s="261" t="s">
        <v>193</v>
      </c>
      <c r="I285" s="261" t="s">
        <v>728</v>
      </c>
      <c r="J285" s="261" t="s">
        <v>98</v>
      </c>
      <c r="K285" s="261" t="s">
        <v>439</v>
      </c>
      <c r="L285" s="261" t="s">
        <v>2085</v>
      </c>
      <c r="M285" s="257"/>
      <c r="N285" s="257"/>
      <c r="O285" s="257"/>
    </row>
    <row r="286" spans="1:15" hidden="1">
      <c r="A286" s="256">
        <v>45703</v>
      </c>
      <c r="B286" s="257" t="s">
        <v>488</v>
      </c>
      <c r="C286" s="263" t="s">
        <v>177</v>
      </c>
      <c r="D286" s="257" t="s">
        <v>120</v>
      </c>
      <c r="E286" s="259">
        <v>130000</v>
      </c>
      <c r="F286" s="259">
        <v>211.78785113203864</v>
      </c>
      <c r="G286" s="260">
        <v>613.82180000000005</v>
      </c>
      <c r="H286" s="261" t="s">
        <v>213</v>
      </c>
      <c r="I286" s="261" t="s">
        <v>489</v>
      </c>
      <c r="J286" s="261" t="s">
        <v>98</v>
      </c>
      <c r="K286" s="261" t="s">
        <v>439</v>
      </c>
      <c r="L286" s="261" t="s">
        <v>2085</v>
      </c>
      <c r="M286" s="257"/>
      <c r="N286" s="257"/>
      <c r="O286" s="257"/>
    </row>
    <row r="287" spans="1:15" hidden="1">
      <c r="A287" s="256">
        <v>45703</v>
      </c>
      <c r="B287" s="257" t="s">
        <v>729</v>
      </c>
      <c r="C287" s="263" t="s">
        <v>174</v>
      </c>
      <c r="D287" s="258" t="s">
        <v>117</v>
      </c>
      <c r="E287" s="259">
        <v>7000</v>
      </c>
      <c r="F287" s="259">
        <v>11.403961214802081</v>
      </c>
      <c r="G287" s="260">
        <v>613.82180000000005</v>
      </c>
      <c r="H287" s="261" t="s">
        <v>193</v>
      </c>
      <c r="I287" s="261" t="s">
        <v>730</v>
      </c>
      <c r="J287" s="261" t="s">
        <v>98</v>
      </c>
      <c r="K287" s="261" t="s">
        <v>439</v>
      </c>
      <c r="L287" s="261" t="s">
        <v>2085</v>
      </c>
      <c r="M287" s="257"/>
      <c r="N287" s="257"/>
      <c r="O287" s="257"/>
    </row>
    <row r="288" spans="1:15" hidden="1">
      <c r="A288" s="256">
        <v>45705</v>
      </c>
      <c r="B288" s="257" t="s">
        <v>598</v>
      </c>
      <c r="C288" s="257" t="s">
        <v>152</v>
      </c>
      <c r="D288" s="258" t="s">
        <v>442</v>
      </c>
      <c r="E288" s="259">
        <v>15000</v>
      </c>
      <c r="F288" s="259">
        <v>24.437059746004458</v>
      </c>
      <c r="G288" s="260">
        <v>613.82180000000005</v>
      </c>
      <c r="H288" s="261" t="s">
        <v>157</v>
      </c>
      <c r="I288" s="261" t="s">
        <v>599</v>
      </c>
      <c r="J288" s="261" t="s">
        <v>98</v>
      </c>
      <c r="K288" s="261" t="s">
        <v>439</v>
      </c>
      <c r="L288" s="261" t="s">
        <v>2085</v>
      </c>
      <c r="M288" s="257"/>
      <c r="N288" s="257"/>
      <c r="O288" s="257"/>
    </row>
    <row r="289" spans="1:15" hidden="1">
      <c r="A289" s="256">
        <v>45706</v>
      </c>
      <c r="B289" s="257" t="s">
        <v>600</v>
      </c>
      <c r="C289" s="264" t="s">
        <v>2086</v>
      </c>
      <c r="D289" s="257" t="s">
        <v>118</v>
      </c>
      <c r="E289" s="259">
        <v>9000</v>
      </c>
      <c r="F289" s="259">
        <v>14.662235847602675</v>
      </c>
      <c r="G289" s="260">
        <v>613.82180000000005</v>
      </c>
      <c r="H289" s="261" t="s">
        <v>583</v>
      </c>
      <c r="I289" s="261" t="s">
        <v>601</v>
      </c>
      <c r="J289" s="261" t="s">
        <v>98</v>
      </c>
      <c r="K289" s="261" t="s">
        <v>439</v>
      </c>
      <c r="L289" s="261" t="s">
        <v>2085</v>
      </c>
      <c r="M289" s="257"/>
      <c r="N289" s="257"/>
      <c r="O289" s="257"/>
    </row>
    <row r="290" spans="1:15" hidden="1">
      <c r="A290" s="256">
        <v>45706</v>
      </c>
      <c r="B290" s="257" t="s">
        <v>3176</v>
      </c>
      <c r="C290" s="263" t="s">
        <v>177</v>
      </c>
      <c r="D290" s="258" t="s">
        <v>442</v>
      </c>
      <c r="E290" s="259">
        <v>45000</v>
      </c>
      <c r="F290" s="259">
        <v>73.311179238013366</v>
      </c>
      <c r="G290" s="260">
        <v>613.82180000000005</v>
      </c>
      <c r="H290" s="261" t="s">
        <v>317</v>
      </c>
      <c r="I290" s="261" t="s">
        <v>750</v>
      </c>
      <c r="J290" s="261" t="s">
        <v>98</v>
      </c>
      <c r="K290" s="261" t="s">
        <v>439</v>
      </c>
      <c r="L290" s="261" t="s">
        <v>2085</v>
      </c>
      <c r="M290" s="257"/>
      <c r="N290" s="257"/>
      <c r="O290" s="257"/>
    </row>
    <row r="291" spans="1:15" hidden="1">
      <c r="A291" s="256">
        <v>45706</v>
      </c>
      <c r="B291" s="257" t="s">
        <v>3066</v>
      </c>
      <c r="C291" s="263" t="s">
        <v>174</v>
      </c>
      <c r="D291" s="258" t="s">
        <v>442</v>
      </c>
      <c r="E291" s="259">
        <v>4000</v>
      </c>
      <c r="F291" s="259">
        <v>6.5165492656011885</v>
      </c>
      <c r="G291" s="260">
        <v>613.82180000000005</v>
      </c>
      <c r="H291" s="261" t="s">
        <v>317</v>
      </c>
      <c r="I291" s="261" t="s">
        <v>751</v>
      </c>
      <c r="J291" s="261" t="s">
        <v>98</v>
      </c>
      <c r="K291" s="261" t="s">
        <v>439</v>
      </c>
      <c r="L291" s="261" t="s">
        <v>2085</v>
      </c>
      <c r="M291" s="257"/>
      <c r="N291" s="257"/>
      <c r="O291" s="257"/>
    </row>
    <row r="292" spans="1:15" hidden="1">
      <c r="A292" s="256">
        <v>45706</v>
      </c>
      <c r="B292" s="257" t="s">
        <v>602</v>
      </c>
      <c r="C292" s="257" t="s">
        <v>256</v>
      </c>
      <c r="D292" s="258" t="s">
        <v>117</v>
      </c>
      <c r="E292" s="259">
        <v>70000</v>
      </c>
      <c r="F292" s="259">
        <v>114.03961214802079</v>
      </c>
      <c r="G292" s="260">
        <v>613.82180000000005</v>
      </c>
      <c r="H292" s="261" t="s">
        <v>193</v>
      </c>
      <c r="I292" s="261" t="s">
        <v>603</v>
      </c>
      <c r="J292" s="261" t="s">
        <v>98</v>
      </c>
      <c r="K292" s="261" t="s">
        <v>439</v>
      </c>
      <c r="L292" s="261" t="s">
        <v>2085</v>
      </c>
      <c r="M292" s="257"/>
      <c r="N292" s="257"/>
      <c r="O292" s="257"/>
    </row>
    <row r="293" spans="1:15" hidden="1">
      <c r="A293" s="256">
        <v>45707</v>
      </c>
      <c r="B293" s="257" t="s">
        <v>772</v>
      </c>
      <c r="C293" s="263" t="s">
        <v>365</v>
      </c>
      <c r="D293" s="258" t="s">
        <v>442</v>
      </c>
      <c r="E293" s="259">
        <v>30000</v>
      </c>
      <c r="F293" s="259">
        <v>48.874119492008916</v>
      </c>
      <c r="G293" s="260">
        <v>613.82180000000005</v>
      </c>
      <c r="H293" s="261" t="s">
        <v>157</v>
      </c>
      <c r="I293" s="261" t="s">
        <v>604</v>
      </c>
      <c r="J293" s="261" t="s">
        <v>98</v>
      </c>
      <c r="K293" s="261" t="s">
        <v>439</v>
      </c>
      <c r="L293" s="261" t="s">
        <v>2085</v>
      </c>
      <c r="M293" s="257"/>
      <c r="N293" s="257"/>
      <c r="O293" s="257"/>
    </row>
    <row r="294" spans="1:15" hidden="1">
      <c r="A294" s="256">
        <v>45707</v>
      </c>
      <c r="B294" s="257" t="s">
        <v>605</v>
      </c>
      <c r="C294" s="264" t="s">
        <v>2086</v>
      </c>
      <c r="D294" s="257" t="s">
        <v>118</v>
      </c>
      <c r="E294" s="259">
        <v>1952</v>
      </c>
      <c r="F294" s="259">
        <v>3.3698684387478939</v>
      </c>
      <c r="G294" s="260">
        <v>579.25099999999998</v>
      </c>
      <c r="H294" s="261" t="s">
        <v>157</v>
      </c>
      <c r="I294" s="261" t="s">
        <v>606</v>
      </c>
      <c r="J294" s="261" t="s">
        <v>98</v>
      </c>
      <c r="K294" s="265" t="s">
        <v>202</v>
      </c>
      <c r="L294" s="261" t="s">
        <v>2085</v>
      </c>
      <c r="M294" s="257"/>
      <c r="N294" s="257"/>
      <c r="O294" s="257"/>
    </row>
    <row r="295" spans="1:15" hidden="1">
      <c r="A295" s="256">
        <v>45707</v>
      </c>
      <c r="B295" s="257" t="s">
        <v>607</v>
      </c>
      <c r="C295" s="264" t="s">
        <v>2086</v>
      </c>
      <c r="D295" s="257" t="s">
        <v>118</v>
      </c>
      <c r="E295" s="259">
        <v>14250</v>
      </c>
      <c r="F295" s="259">
        <v>23.215206758704234</v>
      </c>
      <c r="G295" s="260">
        <v>613.82180000000005</v>
      </c>
      <c r="H295" s="261" t="s">
        <v>583</v>
      </c>
      <c r="I295" s="261" t="s">
        <v>608</v>
      </c>
      <c r="J295" s="261" t="s">
        <v>98</v>
      </c>
      <c r="K295" s="261" t="s">
        <v>439</v>
      </c>
      <c r="L295" s="261" t="s">
        <v>2085</v>
      </c>
      <c r="M295" s="257"/>
      <c r="N295" s="257"/>
      <c r="O295" s="257"/>
    </row>
    <row r="296" spans="1:15" hidden="1">
      <c r="A296" s="256">
        <v>45708</v>
      </c>
      <c r="B296" s="257" t="s">
        <v>3179</v>
      </c>
      <c r="C296" s="263" t="s">
        <v>177</v>
      </c>
      <c r="D296" s="258" t="s">
        <v>442</v>
      </c>
      <c r="E296" s="259">
        <v>30000</v>
      </c>
      <c r="F296" s="259">
        <v>48.874119492008916</v>
      </c>
      <c r="G296" s="260">
        <v>613.82180000000005</v>
      </c>
      <c r="H296" s="261" t="s">
        <v>317</v>
      </c>
      <c r="I296" s="261" t="s">
        <v>752</v>
      </c>
      <c r="J296" s="261" t="s">
        <v>98</v>
      </c>
      <c r="K296" s="261" t="s">
        <v>439</v>
      </c>
      <c r="L296" s="261" t="s">
        <v>2085</v>
      </c>
      <c r="M296" s="257"/>
      <c r="N296" s="257"/>
      <c r="O296" s="257"/>
    </row>
    <row r="297" spans="1:15" hidden="1">
      <c r="A297" s="256">
        <v>45708</v>
      </c>
      <c r="B297" s="257" t="s">
        <v>3066</v>
      </c>
      <c r="C297" s="263" t="s">
        <v>174</v>
      </c>
      <c r="D297" s="258" t="s">
        <v>442</v>
      </c>
      <c r="E297" s="259">
        <v>4000</v>
      </c>
      <c r="F297" s="259">
        <v>6.5165492656011885</v>
      </c>
      <c r="G297" s="260">
        <v>613.82180000000005</v>
      </c>
      <c r="H297" s="261" t="s">
        <v>317</v>
      </c>
      <c r="I297" s="261" t="s">
        <v>753</v>
      </c>
      <c r="J297" s="261" t="s">
        <v>98</v>
      </c>
      <c r="K297" s="261" t="s">
        <v>439</v>
      </c>
      <c r="L297" s="261" t="s">
        <v>2085</v>
      </c>
      <c r="M297" s="257"/>
      <c r="N297" s="257"/>
      <c r="O297" s="257"/>
    </row>
    <row r="298" spans="1:15" hidden="1">
      <c r="A298" s="256">
        <v>45708</v>
      </c>
      <c r="B298" s="257" t="s">
        <v>512</v>
      </c>
      <c r="C298" s="263" t="s">
        <v>177</v>
      </c>
      <c r="D298" s="258" t="s">
        <v>117</v>
      </c>
      <c r="E298" s="259">
        <v>75000</v>
      </c>
      <c r="F298" s="259">
        <v>122.18529873002228</v>
      </c>
      <c r="G298" s="260">
        <v>613.82180000000005</v>
      </c>
      <c r="H298" s="261" t="s">
        <v>190</v>
      </c>
      <c r="I298" s="261" t="s">
        <v>513</v>
      </c>
      <c r="J298" s="261" t="s">
        <v>98</v>
      </c>
      <c r="K298" s="261" t="s">
        <v>439</v>
      </c>
      <c r="L298" s="261" t="s">
        <v>2085</v>
      </c>
      <c r="M298" s="257"/>
      <c r="N298" s="257"/>
      <c r="O298" s="257"/>
    </row>
    <row r="299" spans="1:15" hidden="1">
      <c r="A299" s="256">
        <v>45709</v>
      </c>
      <c r="B299" s="257" t="s">
        <v>585</v>
      </c>
      <c r="C299" s="264" t="s">
        <v>2086</v>
      </c>
      <c r="D299" s="257" t="s">
        <v>118</v>
      </c>
      <c r="E299" s="259">
        <v>14700</v>
      </c>
      <c r="F299" s="259">
        <v>23.94831855108437</v>
      </c>
      <c r="G299" s="260">
        <v>613.82180000000005</v>
      </c>
      <c r="H299" s="261" t="s">
        <v>193</v>
      </c>
      <c r="I299" s="261" t="s">
        <v>610</v>
      </c>
      <c r="J299" s="261" t="s">
        <v>98</v>
      </c>
      <c r="K299" s="261" t="s">
        <v>439</v>
      </c>
      <c r="L299" s="261" t="s">
        <v>2085</v>
      </c>
      <c r="M299" s="257"/>
      <c r="N299" s="257"/>
      <c r="O299" s="257"/>
    </row>
    <row r="300" spans="1:15" hidden="1">
      <c r="A300" s="256">
        <v>45710</v>
      </c>
      <c r="B300" s="257" t="s">
        <v>766</v>
      </c>
      <c r="C300" s="263" t="s">
        <v>177</v>
      </c>
      <c r="D300" s="258" t="s">
        <v>117</v>
      </c>
      <c r="E300" s="259">
        <v>105000</v>
      </c>
      <c r="F300" s="259">
        <v>171.05941822203121</v>
      </c>
      <c r="G300" s="260">
        <v>613.82180000000005</v>
      </c>
      <c r="H300" s="261" t="s">
        <v>200</v>
      </c>
      <c r="I300" s="261" t="s">
        <v>522</v>
      </c>
      <c r="J300" s="261" t="s">
        <v>98</v>
      </c>
      <c r="K300" s="261" t="s">
        <v>439</v>
      </c>
      <c r="L300" s="261" t="s">
        <v>2085</v>
      </c>
      <c r="M300" s="257"/>
      <c r="N300" s="257"/>
      <c r="O300" s="257"/>
    </row>
    <row r="301" spans="1:15" hidden="1">
      <c r="A301" s="256">
        <v>45710</v>
      </c>
      <c r="B301" s="257" t="s">
        <v>2992</v>
      </c>
      <c r="C301" s="263" t="s">
        <v>177</v>
      </c>
      <c r="D301" s="258" t="s">
        <v>442</v>
      </c>
      <c r="E301" s="259">
        <v>180000</v>
      </c>
      <c r="F301" s="259">
        <v>293.24471695205347</v>
      </c>
      <c r="G301" s="260">
        <v>613.82180000000005</v>
      </c>
      <c r="H301" s="261" t="s">
        <v>175</v>
      </c>
      <c r="I301" s="261" t="s">
        <v>676</v>
      </c>
      <c r="J301" s="261" t="s">
        <v>98</v>
      </c>
      <c r="K301" s="261" t="s">
        <v>439</v>
      </c>
      <c r="L301" s="261" t="s">
        <v>2085</v>
      </c>
      <c r="M301" s="257"/>
      <c r="N301" s="257"/>
      <c r="O301" s="257"/>
    </row>
    <row r="302" spans="1:15" hidden="1">
      <c r="A302" s="256">
        <v>45710</v>
      </c>
      <c r="B302" s="257" t="s">
        <v>3176</v>
      </c>
      <c r="C302" s="263" t="s">
        <v>177</v>
      </c>
      <c r="D302" s="258" t="s">
        <v>442</v>
      </c>
      <c r="E302" s="259">
        <v>30000</v>
      </c>
      <c r="F302" s="259">
        <v>48.874119492008916</v>
      </c>
      <c r="G302" s="260">
        <v>613.82180000000005</v>
      </c>
      <c r="H302" s="261" t="s">
        <v>317</v>
      </c>
      <c r="I302" s="261" t="s">
        <v>754</v>
      </c>
      <c r="J302" s="261" t="s">
        <v>98</v>
      </c>
      <c r="K302" s="261" t="s">
        <v>439</v>
      </c>
      <c r="L302" s="261" t="s">
        <v>2085</v>
      </c>
      <c r="M302" s="257"/>
      <c r="N302" s="257"/>
      <c r="O302" s="257"/>
    </row>
    <row r="303" spans="1:15" hidden="1">
      <c r="A303" s="256">
        <v>45710</v>
      </c>
      <c r="B303" s="257" t="s">
        <v>3064</v>
      </c>
      <c r="C303" s="263" t="s">
        <v>174</v>
      </c>
      <c r="D303" s="258" t="s">
        <v>442</v>
      </c>
      <c r="E303" s="259">
        <v>7000</v>
      </c>
      <c r="F303" s="259">
        <v>11.403961214802081</v>
      </c>
      <c r="G303" s="260">
        <v>613.82180000000005</v>
      </c>
      <c r="H303" s="261" t="s">
        <v>317</v>
      </c>
      <c r="I303" s="261" t="s">
        <v>755</v>
      </c>
      <c r="J303" s="261" t="s">
        <v>98</v>
      </c>
      <c r="K303" s="261" t="s">
        <v>439</v>
      </c>
      <c r="L303" s="261" t="s">
        <v>2085</v>
      </c>
      <c r="M303" s="257"/>
      <c r="N303" s="257"/>
      <c r="O303" s="257"/>
    </row>
    <row r="304" spans="1:15" hidden="1">
      <c r="A304" s="256">
        <v>45711</v>
      </c>
      <c r="B304" s="257" t="s">
        <v>677</v>
      </c>
      <c r="C304" s="263" t="s">
        <v>365</v>
      </c>
      <c r="D304" s="258" t="s">
        <v>442</v>
      </c>
      <c r="E304" s="259">
        <v>68000</v>
      </c>
      <c r="F304" s="259">
        <v>110.7813375152202</v>
      </c>
      <c r="G304" s="260">
        <v>613.82180000000005</v>
      </c>
      <c r="H304" s="261" t="s">
        <v>175</v>
      </c>
      <c r="I304" s="261" t="s">
        <v>678</v>
      </c>
      <c r="J304" s="261" t="s">
        <v>98</v>
      </c>
      <c r="K304" s="261" t="s">
        <v>439</v>
      </c>
      <c r="L304" s="261" t="s">
        <v>2085</v>
      </c>
      <c r="M304" s="257"/>
      <c r="N304" s="257"/>
      <c r="O304" s="257"/>
    </row>
    <row r="305" spans="1:15" hidden="1">
      <c r="A305" s="256">
        <v>45712</v>
      </c>
      <c r="B305" s="257" t="s">
        <v>523</v>
      </c>
      <c r="C305" s="263" t="s">
        <v>177</v>
      </c>
      <c r="D305" s="257" t="s">
        <v>2087</v>
      </c>
      <c r="E305" s="259">
        <v>10500</v>
      </c>
      <c r="F305" s="259">
        <v>17.105941822203121</v>
      </c>
      <c r="G305" s="260">
        <v>613.82180000000005</v>
      </c>
      <c r="H305" s="261" t="s">
        <v>200</v>
      </c>
      <c r="I305" s="261" t="s">
        <v>524</v>
      </c>
      <c r="J305" s="261" t="s">
        <v>98</v>
      </c>
      <c r="K305" s="261" t="s">
        <v>439</v>
      </c>
      <c r="L305" s="261" t="s">
        <v>2085</v>
      </c>
      <c r="M305" s="257"/>
      <c r="N305" s="257"/>
      <c r="O305" s="257"/>
    </row>
    <row r="306" spans="1:15" hidden="1">
      <c r="A306" s="256">
        <v>45712</v>
      </c>
      <c r="B306" s="257" t="s">
        <v>525</v>
      </c>
      <c r="C306" s="263" t="s">
        <v>1163</v>
      </c>
      <c r="D306" s="257" t="s">
        <v>2087</v>
      </c>
      <c r="E306" s="259">
        <v>1500</v>
      </c>
      <c r="F306" s="259">
        <v>2.4437059746004457</v>
      </c>
      <c r="G306" s="260">
        <v>613.82180000000005</v>
      </c>
      <c r="H306" s="261" t="s">
        <v>200</v>
      </c>
      <c r="I306" s="261" t="s">
        <v>526</v>
      </c>
      <c r="J306" s="261" t="s">
        <v>98</v>
      </c>
      <c r="K306" s="261" t="s">
        <v>439</v>
      </c>
      <c r="L306" s="261" t="s">
        <v>2085</v>
      </c>
      <c r="M306" s="257"/>
      <c r="N306" s="257"/>
      <c r="O306" s="257"/>
    </row>
    <row r="307" spans="1:15" hidden="1">
      <c r="A307" s="256">
        <v>45712</v>
      </c>
      <c r="B307" s="257" t="s">
        <v>612</v>
      </c>
      <c r="C307" s="257" t="s">
        <v>152</v>
      </c>
      <c r="D307" s="258" t="s">
        <v>119</v>
      </c>
      <c r="E307" s="259">
        <v>5000</v>
      </c>
      <c r="F307" s="259">
        <v>8.1456865820014865</v>
      </c>
      <c r="G307" s="260">
        <v>613.82180000000005</v>
      </c>
      <c r="H307" s="261" t="s">
        <v>157</v>
      </c>
      <c r="I307" s="261" t="s">
        <v>613</v>
      </c>
      <c r="J307" s="261" t="s">
        <v>98</v>
      </c>
      <c r="K307" s="261" t="s">
        <v>439</v>
      </c>
      <c r="L307" s="261" t="s">
        <v>2085</v>
      </c>
      <c r="M307" s="257"/>
      <c r="N307" s="257"/>
      <c r="O307" s="257"/>
    </row>
    <row r="308" spans="1:15" hidden="1">
      <c r="A308" s="256">
        <v>45712</v>
      </c>
      <c r="B308" s="257" t="s">
        <v>3201</v>
      </c>
      <c r="C308" s="263" t="s">
        <v>177</v>
      </c>
      <c r="D308" s="258" t="s">
        <v>442</v>
      </c>
      <c r="E308" s="259">
        <v>210000</v>
      </c>
      <c r="F308" s="259">
        <v>342.11883644406242</v>
      </c>
      <c r="G308" s="260">
        <v>613.82180000000005</v>
      </c>
      <c r="H308" s="261" t="s">
        <v>184</v>
      </c>
      <c r="I308" s="261" t="s">
        <v>662</v>
      </c>
      <c r="J308" s="261" t="s">
        <v>98</v>
      </c>
      <c r="K308" s="261" t="s">
        <v>439</v>
      </c>
      <c r="L308" s="261" t="s">
        <v>2085</v>
      </c>
      <c r="M308" s="257"/>
      <c r="N308" s="257"/>
      <c r="O308" s="257"/>
    </row>
    <row r="309" spans="1:15" hidden="1">
      <c r="A309" s="256">
        <v>45712</v>
      </c>
      <c r="B309" s="257" t="s">
        <v>3028</v>
      </c>
      <c r="C309" s="263" t="s">
        <v>174</v>
      </c>
      <c r="D309" s="257" t="s">
        <v>2087</v>
      </c>
      <c r="E309" s="259">
        <v>50000</v>
      </c>
      <c r="F309" s="259">
        <v>81.456865820014855</v>
      </c>
      <c r="G309" s="260">
        <v>613.82180000000005</v>
      </c>
      <c r="H309" s="261" t="s">
        <v>184</v>
      </c>
      <c r="I309" s="261" t="s">
        <v>663</v>
      </c>
      <c r="J309" s="261" t="s">
        <v>98</v>
      </c>
      <c r="K309" s="261" t="s">
        <v>439</v>
      </c>
      <c r="L309" s="261" t="s">
        <v>2085</v>
      </c>
      <c r="M309" s="257"/>
      <c r="N309" s="257"/>
      <c r="O309" s="257"/>
    </row>
    <row r="310" spans="1:15" hidden="1">
      <c r="A310" s="256">
        <v>45712</v>
      </c>
      <c r="B310" s="257" t="s">
        <v>3202</v>
      </c>
      <c r="C310" s="263" t="s">
        <v>174</v>
      </c>
      <c r="D310" s="257" t="s">
        <v>2087</v>
      </c>
      <c r="E310" s="259">
        <v>8000</v>
      </c>
      <c r="F310" s="259">
        <v>13.033098531202377</v>
      </c>
      <c r="G310" s="260">
        <v>613.82180000000005</v>
      </c>
      <c r="H310" s="261" t="s">
        <v>184</v>
      </c>
      <c r="I310" s="261" t="s">
        <v>664</v>
      </c>
      <c r="J310" s="261" t="s">
        <v>98</v>
      </c>
      <c r="K310" s="261" t="s">
        <v>439</v>
      </c>
      <c r="L310" s="261" t="s">
        <v>2085</v>
      </c>
      <c r="M310" s="257"/>
      <c r="N310" s="257"/>
      <c r="O310" s="257"/>
    </row>
    <row r="311" spans="1:15" hidden="1">
      <c r="A311" s="256">
        <v>45712</v>
      </c>
      <c r="B311" s="257" t="s">
        <v>3202</v>
      </c>
      <c r="C311" s="263" t="s">
        <v>174</v>
      </c>
      <c r="D311" s="257" t="s">
        <v>2087</v>
      </c>
      <c r="E311" s="259">
        <v>8000</v>
      </c>
      <c r="F311" s="259">
        <v>13.033098531202377</v>
      </c>
      <c r="G311" s="260">
        <v>613.82180000000005</v>
      </c>
      <c r="H311" s="261" t="s">
        <v>184</v>
      </c>
      <c r="I311" s="261" t="s">
        <v>665</v>
      </c>
      <c r="J311" s="261" t="s">
        <v>98</v>
      </c>
      <c r="K311" s="261" t="s">
        <v>439</v>
      </c>
      <c r="L311" s="261" t="s">
        <v>2085</v>
      </c>
      <c r="M311" s="257"/>
      <c r="N311" s="257"/>
      <c r="O311" s="257"/>
    </row>
    <row r="312" spans="1:15" hidden="1">
      <c r="A312" s="256">
        <v>45712</v>
      </c>
      <c r="B312" s="257" t="s">
        <v>247</v>
      </c>
      <c r="C312" s="263" t="s">
        <v>177</v>
      </c>
      <c r="D312" s="257" t="s">
        <v>2087</v>
      </c>
      <c r="E312" s="259">
        <v>18000</v>
      </c>
      <c r="F312" s="259">
        <v>29.32447169520535</v>
      </c>
      <c r="G312" s="260">
        <v>613.82180000000005</v>
      </c>
      <c r="H312" s="261" t="s">
        <v>187</v>
      </c>
      <c r="I312" s="261" t="s">
        <v>708</v>
      </c>
      <c r="J312" s="261" t="s">
        <v>98</v>
      </c>
      <c r="K312" s="261" t="s">
        <v>439</v>
      </c>
      <c r="L312" s="261" t="s">
        <v>2085</v>
      </c>
      <c r="M312" s="257"/>
      <c r="N312" s="257"/>
      <c r="O312" s="257"/>
    </row>
    <row r="313" spans="1:15" hidden="1">
      <c r="A313" s="256">
        <v>45712</v>
      </c>
      <c r="B313" s="257" t="s">
        <v>709</v>
      </c>
      <c r="C313" s="263" t="s">
        <v>174</v>
      </c>
      <c r="D313" s="257" t="s">
        <v>2087</v>
      </c>
      <c r="E313" s="259">
        <v>25000</v>
      </c>
      <c r="F313" s="259">
        <v>40.728432910007427</v>
      </c>
      <c r="G313" s="260">
        <v>613.82180000000005</v>
      </c>
      <c r="H313" s="261" t="s">
        <v>187</v>
      </c>
      <c r="I313" s="261" t="s">
        <v>710</v>
      </c>
      <c r="J313" s="261" t="s">
        <v>98</v>
      </c>
      <c r="K313" s="261" t="s">
        <v>439</v>
      </c>
      <c r="L313" s="261" t="s">
        <v>2085</v>
      </c>
      <c r="M313" s="257"/>
      <c r="N313" s="257"/>
      <c r="O313" s="257"/>
    </row>
    <row r="314" spans="1:15" hidden="1">
      <c r="A314" s="256">
        <v>45712</v>
      </c>
      <c r="B314" s="257" t="s">
        <v>514</v>
      </c>
      <c r="C314" s="263" t="s">
        <v>177</v>
      </c>
      <c r="D314" s="258" t="s">
        <v>117</v>
      </c>
      <c r="E314" s="259">
        <v>5100</v>
      </c>
      <c r="F314" s="259">
        <v>8.3086003136415147</v>
      </c>
      <c r="G314" s="260">
        <v>613.82180000000005</v>
      </c>
      <c r="H314" s="261" t="s">
        <v>190</v>
      </c>
      <c r="I314" s="261" t="s">
        <v>515</v>
      </c>
      <c r="J314" s="261" t="s">
        <v>98</v>
      </c>
      <c r="K314" s="261" t="s">
        <v>439</v>
      </c>
      <c r="L314" s="261" t="s">
        <v>2085</v>
      </c>
      <c r="M314" s="257"/>
      <c r="N314" s="257"/>
      <c r="O314" s="257"/>
    </row>
    <row r="315" spans="1:15" hidden="1">
      <c r="A315" s="256">
        <v>45712</v>
      </c>
      <c r="B315" s="257" t="s">
        <v>774</v>
      </c>
      <c r="C315" s="264" t="s">
        <v>2086</v>
      </c>
      <c r="D315" s="257" t="s">
        <v>118</v>
      </c>
      <c r="E315" s="259">
        <v>8100</v>
      </c>
      <c r="F315" s="259">
        <v>13.196012262842407</v>
      </c>
      <c r="G315" s="260">
        <v>613.82180000000005</v>
      </c>
      <c r="H315" s="261" t="s">
        <v>193</v>
      </c>
      <c r="I315" s="261" t="s">
        <v>611</v>
      </c>
      <c r="J315" s="261" t="s">
        <v>98</v>
      </c>
      <c r="K315" s="261" t="s">
        <v>439</v>
      </c>
      <c r="L315" s="261" t="s">
        <v>2085</v>
      </c>
      <c r="M315" s="257"/>
      <c r="N315" s="257"/>
      <c r="O315" s="257"/>
    </row>
    <row r="316" spans="1:15" hidden="1">
      <c r="A316" s="256">
        <v>45712</v>
      </c>
      <c r="B316" s="257" t="s">
        <v>262</v>
      </c>
      <c r="C316" s="263" t="s">
        <v>177</v>
      </c>
      <c r="D316" s="257" t="s">
        <v>2087</v>
      </c>
      <c r="E316" s="259">
        <v>9800</v>
      </c>
      <c r="F316" s="259">
        <v>15.965545700722911</v>
      </c>
      <c r="G316" s="260">
        <v>613.82180000000005</v>
      </c>
      <c r="H316" s="261" t="s">
        <v>213</v>
      </c>
      <c r="I316" s="261" t="s">
        <v>490</v>
      </c>
      <c r="J316" s="261" t="s">
        <v>98</v>
      </c>
      <c r="K316" s="261" t="s">
        <v>439</v>
      </c>
      <c r="L316" s="261" t="s">
        <v>2085</v>
      </c>
      <c r="M316" s="257"/>
      <c r="N316" s="257"/>
      <c r="O316" s="257"/>
    </row>
    <row r="317" spans="1:15" hidden="1">
      <c r="A317" s="256">
        <v>45713</v>
      </c>
      <c r="B317" s="257" t="s">
        <v>640</v>
      </c>
      <c r="C317" s="263" t="s">
        <v>174</v>
      </c>
      <c r="D317" s="258" t="s">
        <v>119</v>
      </c>
      <c r="E317" s="259">
        <v>7000</v>
      </c>
      <c r="F317" s="259">
        <v>11.403961214802081</v>
      </c>
      <c r="G317" s="260">
        <v>613.82180000000005</v>
      </c>
      <c r="H317" s="261" t="s">
        <v>153</v>
      </c>
      <c r="I317" s="261" t="s">
        <v>641</v>
      </c>
      <c r="J317" s="261" t="s">
        <v>98</v>
      </c>
      <c r="K317" s="261" t="s">
        <v>439</v>
      </c>
      <c r="L317" s="261" t="s">
        <v>2085</v>
      </c>
      <c r="M317" s="257"/>
      <c r="N317" s="257"/>
      <c r="O317" s="257"/>
    </row>
    <row r="318" spans="1:15" hidden="1">
      <c r="A318" s="256">
        <v>45713</v>
      </c>
      <c r="B318" s="257" t="s">
        <v>642</v>
      </c>
      <c r="C318" s="263" t="s">
        <v>177</v>
      </c>
      <c r="D318" s="258" t="s">
        <v>119</v>
      </c>
      <c r="E318" s="259">
        <v>150000</v>
      </c>
      <c r="F318" s="259">
        <v>244.37059746004456</v>
      </c>
      <c r="G318" s="260">
        <v>613.82180000000005</v>
      </c>
      <c r="H318" s="261" t="s">
        <v>153</v>
      </c>
      <c r="I318" s="261" t="s">
        <v>643</v>
      </c>
      <c r="J318" s="261" t="s">
        <v>98</v>
      </c>
      <c r="K318" s="261" t="s">
        <v>439</v>
      </c>
      <c r="L318" s="261" t="s">
        <v>2085</v>
      </c>
      <c r="M318" s="257"/>
      <c r="N318" s="257"/>
      <c r="O318" s="257"/>
    </row>
    <row r="319" spans="1:15" hidden="1">
      <c r="A319" s="256">
        <v>45713</v>
      </c>
      <c r="B319" s="257" t="s">
        <v>527</v>
      </c>
      <c r="C319" s="257" t="s">
        <v>265</v>
      </c>
      <c r="D319" s="257" t="s">
        <v>2087</v>
      </c>
      <c r="E319" s="259">
        <v>180000</v>
      </c>
      <c r="F319" s="259">
        <v>293.24471695205347</v>
      </c>
      <c r="G319" s="260">
        <v>613.82180000000005</v>
      </c>
      <c r="H319" s="261" t="s">
        <v>200</v>
      </c>
      <c r="I319" s="261" t="s">
        <v>528</v>
      </c>
      <c r="J319" s="261" t="s">
        <v>98</v>
      </c>
      <c r="K319" s="261" t="s">
        <v>439</v>
      </c>
      <c r="L319" s="261" t="s">
        <v>2085</v>
      </c>
      <c r="M319" s="257"/>
      <c r="N319" s="257"/>
      <c r="O319" s="257"/>
    </row>
    <row r="320" spans="1:15" hidden="1">
      <c r="A320" s="256">
        <v>45713</v>
      </c>
      <c r="B320" s="257" t="s">
        <v>529</v>
      </c>
      <c r="C320" s="257" t="s">
        <v>265</v>
      </c>
      <c r="D320" s="257" t="s">
        <v>2087</v>
      </c>
      <c r="E320" s="259">
        <v>20000</v>
      </c>
      <c r="F320" s="259">
        <v>32.582746328005946</v>
      </c>
      <c r="G320" s="260">
        <v>613.82180000000005</v>
      </c>
      <c r="H320" s="261" t="s">
        <v>200</v>
      </c>
      <c r="I320" s="261" t="s">
        <v>530</v>
      </c>
      <c r="J320" s="261" t="s">
        <v>98</v>
      </c>
      <c r="K320" s="261" t="s">
        <v>439</v>
      </c>
      <c r="L320" s="261" t="s">
        <v>2085</v>
      </c>
      <c r="M320" s="257"/>
      <c r="N320" s="257"/>
      <c r="O320" s="257"/>
    </row>
    <row r="321" spans="1:15" hidden="1">
      <c r="A321" s="256">
        <v>45713</v>
      </c>
      <c r="B321" s="257" t="s">
        <v>3203</v>
      </c>
      <c r="C321" s="263" t="s">
        <v>177</v>
      </c>
      <c r="D321" s="257" t="s">
        <v>2087</v>
      </c>
      <c r="E321" s="259">
        <v>105000</v>
      </c>
      <c r="F321" s="259">
        <v>181.26853794494306</v>
      </c>
      <c r="G321" s="260">
        <v>579.25099999999998</v>
      </c>
      <c r="H321" s="261" t="s">
        <v>184</v>
      </c>
      <c r="I321" s="261" t="s">
        <v>666</v>
      </c>
      <c r="J321" s="261" t="s">
        <v>98</v>
      </c>
      <c r="K321" s="265" t="s">
        <v>202</v>
      </c>
      <c r="L321" s="261" t="s">
        <v>2085</v>
      </c>
      <c r="M321" s="257"/>
      <c r="N321" s="257"/>
      <c r="O321" s="257"/>
    </row>
    <row r="322" spans="1:15" hidden="1">
      <c r="A322" s="256">
        <v>45713</v>
      </c>
      <c r="B322" s="257" t="s">
        <v>3204</v>
      </c>
      <c r="C322" s="263" t="s">
        <v>177</v>
      </c>
      <c r="D322" s="257" t="s">
        <v>2087</v>
      </c>
      <c r="E322" s="259">
        <v>105000</v>
      </c>
      <c r="F322" s="259">
        <v>181.26853794494306</v>
      </c>
      <c r="G322" s="260">
        <v>579.25099999999998</v>
      </c>
      <c r="H322" s="261" t="s">
        <v>184</v>
      </c>
      <c r="I322" s="261" t="s">
        <v>667</v>
      </c>
      <c r="J322" s="261" t="s">
        <v>98</v>
      </c>
      <c r="K322" s="265" t="s">
        <v>202</v>
      </c>
      <c r="L322" s="261" t="s">
        <v>2085</v>
      </c>
      <c r="M322" s="257"/>
      <c r="N322" s="257"/>
      <c r="O322" s="257"/>
    </row>
    <row r="323" spans="1:15" hidden="1">
      <c r="A323" s="256">
        <v>45713</v>
      </c>
      <c r="B323" s="257" t="s">
        <v>3066</v>
      </c>
      <c r="C323" s="263" t="s">
        <v>174</v>
      </c>
      <c r="D323" s="258" t="s">
        <v>442</v>
      </c>
      <c r="E323" s="259">
        <v>7000</v>
      </c>
      <c r="F323" s="259">
        <v>11.403961214802081</v>
      </c>
      <c r="G323" s="260">
        <v>613.82180000000005</v>
      </c>
      <c r="H323" s="261" t="s">
        <v>317</v>
      </c>
      <c r="I323" s="261" t="s">
        <v>756</v>
      </c>
      <c r="J323" s="261" t="s">
        <v>98</v>
      </c>
      <c r="K323" s="261" t="s">
        <v>439</v>
      </c>
      <c r="L323" s="261" t="s">
        <v>2085</v>
      </c>
      <c r="M323" s="257"/>
      <c r="N323" s="257"/>
      <c r="O323" s="257"/>
    </row>
    <row r="324" spans="1:15" hidden="1">
      <c r="A324" s="256">
        <v>45713</v>
      </c>
      <c r="B324" s="257" t="s">
        <v>711</v>
      </c>
      <c r="C324" s="263" t="s">
        <v>177</v>
      </c>
      <c r="D324" s="258" t="s">
        <v>117</v>
      </c>
      <c r="E324" s="259">
        <v>150000</v>
      </c>
      <c r="F324" s="259">
        <v>244.37059746004456</v>
      </c>
      <c r="G324" s="260">
        <v>613.82180000000005</v>
      </c>
      <c r="H324" s="261" t="s">
        <v>187</v>
      </c>
      <c r="I324" s="261" t="s">
        <v>712</v>
      </c>
      <c r="J324" s="261" t="s">
        <v>98</v>
      </c>
      <c r="K324" s="261" t="s">
        <v>439</v>
      </c>
      <c r="L324" s="261" t="s">
        <v>2085</v>
      </c>
      <c r="M324" s="257"/>
      <c r="N324" s="257"/>
      <c r="O324" s="257"/>
    </row>
    <row r="325" spans="1:15" hidden="1">
      <c r="A325" s="256">
        <v>45713</v>
      </c>
      <c r="B325" s="257" t="s">
        <v>491</v>
      </c>
      <c r="C325" s="263" t="s">
        <v>177</v>
      </c>
      <c r="D325" s="257" t="s">
        <v>120</v>
      </c>
      <c r="E325" s="259">
        <v>150000</v>
      </c>
      <c r="F325" s="259">
        <v>244.37059746004456</v>
      </c>
      <c r="G325" s="260">
        <v>613.82180000000005</v>
      </c>
      <c r="H325" s="261" t="s">
        <v>213</v>
      </c>
      <c r="I325" s="261" t="s">
        <v>492</v>
      </c>
      <c r="J325" s="261" t="s">
        <v>98</v>
      </c>
      <c r="K325" s="261" t="s">
        <v>439</v>
      </c>
      <c r="L325" s="261" t="s">
        <v>2085</v>
      </c>
      <c r="M325" s="257"/>
      <c r="N325" s="257"/>
      <c r="O325" s="257"/>
    </row>
    <row r="326" spans="1:15" hidden="1">
      <c r="A326" s="256">
        <v>45714</v>
      </c>
      <c r="B326" s="257" t="s">
        <v>615</v>
      </c>
      <c r="C326" s="257" t="s">
        <v>256</v>
      </c>
      <c r="D326" s="258" t="s">
        <v>117</v>
      </c>
      <c r="E326" s="259">
        <v>148000</v>
      </c>
      <c r="F326" s="259">
        <v>241.11232282724399</v>
      </c>
      <c r="G326" s="260">
        <v>613.82180000000005</v>
      </c>
      <c r="H326" s="261" t="s">
        <v>157</v>
      </c>
      <c r="I326" s="261" t="s">
        <v>616</v>
      </c>
      <c r="J326" s="261" t="s">
        <v>98</v>
      </c>
      <c r="K326" s="261" t="s">
        <v>439</v>
      </c>
      <c r="L326" s="261" t="s">
        <v>2085</v>
      </c>
      <c r="M326" s="257"/>
      <c r="N326" s="257"/>
      <c r="O326" s="257"/>
    </row>
    <row r="327" spans="1:15" hidden="1">
      <c r="A327" s="256">
        <v>45714</v>
      </c>
      <c r="B327" s="257" t="s">
        <v>607</v>
      </c>
      <c r="C327" s="264" t="s">
        <v>2086</v>
      </c>
      <c r="D327" s="257" t="s">
        <v>118</v>
      </c>
      <c r="E327" s="259">
        <v>10980</v>
      </c>
      <c r="F327" s="259">
        <v>17.887927734075262</v>
      </c>
      <c r="G327" s="260">
        <v>613.82180000000005</v>
      </c>
      <c r="H327" s="261" t="s">
        <v>583</v>
      </c>
      <c r="I327" s="261" t="s">
        <v>614</v>
      </c>
      <c r="J327" s="261" t="s">
        <v>98</v>
      </c>
      <c r="K327" s="261" t="s">
        <v>439</v>
      </c>
      <c r="L327" s="261" t="s">
        <v>2085</v>
      </c>
      <c r="M327" s="257"/>
      <c r="N327" s="257"/>
      <c r="O327" s="257"/>
    </row>
    <row r="328" spans="1:15" hidden="1">
      <c r="A328" s="256">
        <v>45714</v>
      </c>
      <c r="B328" s="257" t="s">
        <v>3205</v>
      </c>
      <c r="C328" s="263" t="s">
        <v>177</v>
      </c>
      <c r="D328" s="258" t="s">
        <v>442</v>
      </c>
      <c r="E328" s="259">
        <v>20000</v>
      </c>
      <c r="F328" s="259">
        <v>32.582746328005946</v>
      </c>
      <c r="G328" s="260">
        <v>613.82180000000005</v>
      </c>
      <c r="H328" s="261" t="s">
        <v>317</v>
      </c>
      <c r="I328" s="261" t="s">
        <v>757</v>
      </c>
      <c r="J328" s="261" t="s">
        <v>98</v>
      </c>
      <c r="K328" s="261" t="s">
        <v>439</v>
      </c>
      <c r="L328" s="261" t="s">
        <v>2085</v>
      </c>
      <c r="M328" s="257"/>
      <c r="N328" s="257"/>
      <c r="O328" s="257"/>
    </row>
    <row r="329" spans="1:15" hidden="1">
      <c r="A329" s="256">
        <v>45714</v>
      </c>
      <c r="B329" s="257" t="s">
        <v>695</v>
      </c>
      <c r="C329" s="263" t="s">
        <v>174</v>
      </c>
      <c r="D329" s="258" t="s">
        <v>442</v>
      </c>
      <c r="E329" s="259">
        <v>40100</v>
      </c>
      <c r="F329" s="259">
        <v>65.32840638765191</v>
      </c>
      <c r="G329" s="260">
        <v>613.82180000000005</v>
      </c>
      <c r="H329" s="261" t="s">
        <v>323</v>
      </c>
      <c r="I329" s="261" t="s">
        <v>696</v>
      </c>
      <c r="J329" s="261" t="s">
        <v>98</v>
      </c>
      <c r="K329" s="261" t="s">
        <v>439</v>
      </c>
      <c r="L329" s="261" t="s">
        <v>2085</v>
      </c>
      <c r="M329" s="257"/>
      <c r="N329" s="257"/>
      <c r="O329" s="257"/>
    </row>
    <row r="330" spans="1:15" hidden="1">
      <c r="A330" s="256">
        <v>45714</v>
      </c>
      <c r="B330" s="257" t="s">
        <v>516</v>
      </c>
      <c r="C330" s="257" t="s">
        <v>313</v>
      </c>
      <c r="D330" s="258" t="s">
        <v>2087</v>
      </c>
      <c r="E330" s="259">
        <v>4000</v>
      </c>
      <c r="F330" s="259">
        <v>6.9054681121883075</v>
      </c>
      <c r="G330" s="260">
        <v>579.25099999999998</v>
      </c>
      <c r="H330" s="261" t="s">
        <v>190</v>
      </c>
      <c r="I330" s="261" t="s">
        <v>517</v>
      </c>
      <c r="J330" s="261" t="s">
        <v>98</v>
      </c>
      <c r="K330" s="265" t="s">
        <v>202</v>
      </c>
      <c r="L330" s="261" t="s">
        <v>2085</v>
      </c>
      <c r="M330" s="257"/>
      <c r="N330" s="257"/>
      <c r="O330" s="257"/>
    </row>
    <row r="331" spans="1:15" hidden="1">
      <c r="A331" s="256">
        <v>45715</v>
      </c>
      <c r="B331" s="257" t="s">
        <v>617</v>
      </c>
      <c r="C331" s="263" t="s">
        <v>304</v>
      </c>
      <c r="D331" s="257" t="s">
        <v>118</v>
      </c>
      <c r="E331" s="259">
        <v>20000</v>
      </c>
      <c r="F331" s="259">
        <v>34.527340560941539</v>
      </c>
      <c r="G331" s="260">
        <v>579.25099999999998</v>
      </c>
      <c r="H331" s="261" t="s">
        <v>157</v>
      </c>
      <c r="I331" s="261" t="s">
        <v>618</v>
      </c>
      <c r="J331" s="261" t="s">
        <v>98</v>
      </c>
      <c r="K331" s="265" t="s">
        <v>202</v>
      </c>
      <c r="L331" s="261" t="s">
        <v>2085</v>
      </c>
      <c r="M331" s="257"/>
      <c r="N331" s="257"/>
      <c r="O331" s="257"/>
    </row>
    <row r="332" spans="1:15" hidden="1">
      <c r="A332" s="256">
        <v>45715</v>
      </c>
      <c r="B332" s="257" t="s">
        <v>758</v>
      </c>
      <c r="C332" s="263" t="s">
        <v>365</v>
      </c>
      <c r="D332" s="258" t="s">
        <v>442</v>
      </c>
      <c r="E332" s="259">
        <v>29000</v>
      </c>
      <c r="F332" s="259">
        <v>50.06464381336523</v>
      </c>
      <c r="G332" s="260">
        <v>579.25099999999998</v>
      </c>
      <c r="H332" s="261" t="s">
        <v>317</v>
      </c>
      <c r="I332" s="261" t="s">
        <v>759</v>
      </c>
      <c r="J332" s="261" t="s">
        <v>98</v>
      </c>
      <c r="K332" s="265" t="s">
        <v>202</v>
      </c>
      <c r="L332" s="261" t="s">
        <v>2085</v>
      </c>
      <c r="M332" s="257"/>
      <c r="N332" s="257"/>
      <c r="O332" s="257"/>
    </row>
    <row r="333" spans="1:15" hidden="1">
      <c r="A333" s="256">
        <v>45715</v>
      </c>
      <c r="B333" s="257" t="s">
        <v>731</v>
      </c>
      <c r="C333" s="263" t="s">
        <v>174</v>
      </c>
      <c r="D333" s="258" t="s">
        <v>117</v>
      </c>
      <c r="E333" s="259">
        <v>26900</v>
      </c>
      <c r="F333" s="259">
        <v>46.439273054466369</v>
      </c>
      <c r="G333" s="260">
        <v>579.25099999999998</v>
      </c>
      <c r="H333" s="261" t="s">
        <v>193</v>
      </c>
      <c r="I333" s="261" t="s">
        <v>732</v>
      </c>
      <c r="J333" s="261" t="s">
        <v>98</v>
      </c>
      <c r="K333" s="265" t="s">
        <v>202</v>
      </c>
      <c r="L333" s="261" t="s">
        <v>2085</v>
      </c>
      <c r="M333" s="257"/>
      <c r="N333" s="257"/>
      <c r="O333" s="257"/>
    </row>
    <row r="334" spans="1:15" hidden="1">
      <c r="A334" s="256">
        <v>45715</v>
      </c>
      <c r="B334" s="257" t="s">
        <v>619</v>
      </c>
      <c r="C334" s="264" t="s">
        <v>2086</v>
      </c>
      <c r="D334" s="257" t="s">
        <v>118</v>
      </c>
      <c r="E334" s="259">
        <v>560</v>
      </c>
      <c r="F334" s="259">
        <v>0.93929314835967548</v>
      </c>
      <c r="G334" s="260">
        <v>596.19299999999998</v>
      </c>
      <c r="H334" s="261" t="s">
        <v>193</v>
      </c>
      <c r="I334" s="261" t="s">
        <v>620</v>
      </c>
      <c r="J334" s="261" t="s">
        <v>98</v>
      </c>
      <c r="K334" s="261" t="s">
        <v>1901</v>
      </c>
      <c r="L334" s="261" t="s">
        <v>2085</v>
      </c>
      <c r="M334" s="257"/>
      <c r="N334" s="257"/>
      <c r="O334" s="257"/>
    </row>
    <row r="335" spans="1:15" hidden="1">
      <c r="A335" s="256">
        <v>45715</v>
      </c>
      <c r="B335" s="257" t="s">
        <v>650</v>
      </c>
      <c r="C335" s="263" t="s">
        <v>174</v>
      </c>
      <c r="D335" s="257" t="s">
        <v>118</v>
      </c>
      <c r="E335" s="259">
        <v>7000</v>
      </c>
      <c r="F335" s="259">
        <v>11.741164354495943</v>
      </c>
      <c r="G335" s="260">
        <v>579.25099999999998</v>
      </c>
      <c r="H335" s="261" t="s">
        <v>583</v>
      </c>
      <c r="I335" s="261" t="s">
        <v>651</v>
      </c>
      <c r="J335" s="261" t="s">
        <v>98</v>
      </c>
      <c r="K335" s="265" t="s">
        <v>202</v>
      </c>
      <c r="L335" s="261" t="s">
        <v>2085</v>
      </c>
      <c r="M335" s="257"/>
      <c r="N335" s="257"/>
      <c r="O335" s="257"/>
    </row>
    <row r="336" spans="1:15" hidden="1">
      <c r="A336" s="256">
        <v>45716</v>
      </c>
      <c r="B336" s="257" t="s">
        <v>644</v>
      </c>
      <c r="C336" s="263" t="s">
        <v>174</v>
      </c>
      <c r="D336" s="258" t="s">
        <v>119</v>
      </c>
      <c r="E336" s="259">
        <v>39500</v>
      </c>
      <c r="F336" s="259">
        <v>68.191497607859532</v>
      </c>
      <c r="G336" s="260">
        <v>579.25099999999998</v>
      </c>
      <c r="H336" s="261" t="s">
        <v>153</v>
      </c>
      <c r="I336" s="261" t="s">
        <v>645</v>
      </c>
      <c r="J336" s="261" t="s">
        <v>98</v>
      </c>
      <c r="K336" s="265" t="s">
        <v>202</v>
      </c>
      <c r="L336" s="261" t="s">
        <v>2085</v>
      </c>
      <c r="M336" s="257"/>
      <c r="N336" s="257"/>
      <c r="O336" s="257"/>
    </row>
    <row r="337" spans="1:15" hidden="1">
      <c r="A337" s="256">
        <v>45716</v>
      </c>
      <c r="B337" s="257" t="s">
        <v>531</v>
      </c>
      <c r="C337" s="263" t="s">
        <v>174</v>
      </c>
      <c r="D337" s="258" t="s">
        <v>117</v>
      </c>
      <c r="E337" s="259">
        <v>14000</v>
      </c>
      <c r="F337" s="259">
        <v>24.169138392659075</v>
      </c>
      <c r="G337" s="260">
        <v>579.25099999999998</v>
      </c>
      <c r="H337" s="261" t="s">
        <v>200</v>
      </c>
      <c r="I337" s="261" t="s">
        <v>532</v>
      </c>
      <c r="J337" s="261" t="s">
        <v>98</v>
      </c>
      <c r="K337" s="265" t="s">
        <v>202</v>
      </c>
      <c r="L337" s="261" t="s">
        <v>2085</v>
      </c>
      <c r="M337" s="257"/>
      <c r="N337" s="257"/>
      <c r="O337" s="257"/>
    </row>
    <row r="338" spans="1:15" hidden="1">
      <c r="A338" s="256">
        <v>45716</v>
      </c>
      <c r="B338" s="257" t="s">
        <v>646</v>
      </c>
      <c r="C338" s="263" t="s">
        <v>174</v>
      </c>
      <c r="D338" s="257" t="s">
        <v>118</v>
      </c>
      <c r="E338" s="259">
        <v>35500</v>
      </c>
      <c r="F338" s="259">
        <v>61.286029495671229</v>
      </c>
      <c r="G338" s="260">
        <v>579.25099999999998</v>
      </c>
      <c r="H338" s="261" t="s">
        <v>157</v>
      </c>
      <c r="I338" s="261" t="s">
        <v>647</v>
      </c>
      <c r="J338" s="261" t="s">
        <v>98</v>
      </c>
      <c r="K338" s="265" t="s">
        <v>202</v>
      </c>
      <c r="L338" s="261" t="s">
        <v>2085</v>
      </c>
      <c r="M338" s="257"/>
      <c r="N338" s="257"/>
      <c r="O338" s="257"/>
    </row>
    <row r="339" spans="1:15" hidden="1">
      <c r="A339" s="256">
        <v>45716</v>
      </c>
      <c r="B339" s="257" t="s">
        <v>621</v>
      </c>
      <c r="C339" s="263" t="s">
        <v>304</v>
      </c>
      <c r="D339" s="257" t="s">
        <v>118</v>
      </c>
      <c r="E339" s="259">
        <v>6000</v>
      </c>
      <c r="F339" s="259">
        <v>10.35820216828246</v>
      </c>
      <c r="G339" s="260">
        <v>579.25099999999998</v>
      </c>
      <c r="H339" s="261" t="s">
        <v>157</v>
      </c>
      <c r="I339" s="261" t="s">
        <v>622</v>
      </c>
      <c r="J339" s="261" t="s">
        <v>98</v>
      </c>
      <c r="K339" s="265" t="s">
        <v>202</v>
      </c>
      <c r="L339" s="261" t="s">
        <v>2085</v>
      </c>
      <c r="M339" s="257"/>
      <c r="N339" s="257"/>
      <c r="O339" s="257"/>
    </row>
    <row r="340" spans="1:15" hidden="1">
      <c r="A340" s="256">
        <v>45716</v>
      </c>
      <c r="B340" s="257" t="s">
        <v>625</v>
      </c>
      <c r="C340" s="257" t="s">
        <v>626</v>
      </c>
      <c r="D340" s="257" t="s">
        <v>118</v>
      </c>
      <c r="E340" s="259">
        <v>45050</v>
      </c>
      <c r="F340" s="259">
        <v>77.772834613520814</v>
      </c>
      <c r="G340" s="260">
        <v>579.25099999999998</v>
      </c>
      <c r="H340" s="261" t="s">
        <v>157</v>
      </c>
      <c r="I340" s="261" t="s">
        <v>627</v>
      </c>
      <c r="J340" s="261" t="s">
        <v>98</v>
      </c>
      <c r="K340" s="265" t="s">
        <v>202</v>
      </c>
      <c r="L340" s="261" t="s">
        <v>2085</v>
      </c>
      <c r="M340" s="257"/>
      <c r="N340" s="257"/>
      <c r="O340" s="257"/>
    </row>
    <row r="341" spans="1:15" hidden="1">
      <c r="A341" s="256">
        <v>45716</v>
      </c>
      <c r="B341" s="257" t="s">
        <v>630</v>
      </c>
      <c r="C341" s="263" t="s">
        <v>1163</v>
      </c>
      <c r="D341" s="257" t="s">
        <v>118</v>
      </c>
      <c r="E341" s="259">
        <v>182000</v>
      </c>
      <c r="F341" s="259">
        <v>314.19879910456797</v>
      </c>
      <c r="G341" s="260">
        <v>579.25099999999998</v>
      </c>
      <c r="H341" s="261" t="s">
        <v>157</v>
      </c>
      <c r="I341" s="261" t="s">
        <v>631</v>
      </c>
      <c r="J341" s="261" t="s">
        <v>98</v>
      </c>
      <c r="K341" s="265" t="s">
        <v>202</v>
      </c>
      <c r="L341" s="261" t="s">
        <v>2085</v>
      </c>
      <c r="M341" s="257"/>
      <c r="N341" s="257"/>
      <c r="O341" s="257"/>
    </row>
    <row r="342" spans="1:15" hidden="1">
      <c r="A342" s="256">
        <v>45716</v>
      </c>
      <c r="B342" s="257" t="s">
        <v>632</v>
      </c>
      <c r="C342" s="257" t="s">
        <v>127</v>
      </c>
      <c r="D342" s="257" t="s">
        <v>118</v>
      </c>
      <c r="E342" s="259">
        <v>10500</v>
      </c>
      <c r="F342" s="259">
        <v>18.126853794494306</v>
      </c>
      <c r="G342" s="260">
        <v>579.25099999999998</v>
      </c>
      <c r="H342" s="261" t="s">
        <v>157</v>
      </c>
      <c r="I342" s="261" t="s">
        <v>633</v>
      </c>
      <c r="J342" s="261" t="s">
        <v>98</v>
      </c>
      <c r="K342" s="265" t="s">
        <v>202</v>
      </c>
      <c r="L342" s="261" t="s">
        <v>2085</v>
      </c>
      <c r="M342" s="257"/>
      <c r="N342" s="257"/>
      <c r="O342" s="257"/>
    </row>
    <row r="343" spans="1:15" hidden="1">
      <c r="A343" s="256">
        <v>45716</v>
      </c>
      <c r="B343" s="257" t="s">
        <v>623</v>
      </c>
      <c r="C343" s="264" t="s">
        <v>2086</v>
      </c>
      <c r="D343" s="257" t="s">
        <v>118</v>
      </c>
      <c r="E343" s="259">
        <v>7020</v>
      </c>
      <c r="F343" s="259">
        <v>12.119096536890479</v>
      </c>
      <c r="G343" s="260">
        <v>579.25099999999998</v>
      </c>
      <c r="H343" s="261" t="s">
        <v>583</v>
      </c>
      <c r="I343" s="266" t="s">
        <v>624</v>
      </c>
      <c r="J343" s="261" t="s">
        <v>98</v>
      </c>
      <c r="K343" s="265" t="s">
        <v>202</v>
      </c>
      <c r="L343" s="261" t="s">
        <v>2085</v>
      </c>
      <c r="M343" s="257"/>
      <c r="N343" s="257"/>
      <c r="O343" s="257"/>
    </row>
    <row r="344" spans="1:15" hidden="1">
      <c r="A344" s="256">
        <v>45716</v>
      </c>
      <c r="B344" s="257" t="s">
        <v>628</v>
      </c>
      <c r="C344" s="263" t="s">
        <v>304</v>
      </c>
      <c r="D344" s="257" t="s">
        <v>118</v>
      </c>
      <c r="E344" s="259">
        <v>75625</v>
      </c>
      <c r="F344" s="259">
        <v>130.55650649606019</v>
      </c>
      <c r="G344" s="260">
        <v>579.25099999999998</v>
      </c>
      <c r="H344" s="261" t="s">
        <v>583</v>
      </c>
      <c r="I344" s="266" t="s">
        <v>629</v>
      </c>
      <c r="J344" s="261" t="s">
        <v>98</v>
      </c>
      <c r="K344" s="265" t="s">
        <v>202</v>
      </c>
      <c r="L344" s="261" t="s">
        <v>2085</v>
      </c>
      <c r="M344" s="257"/>
      <c r="N344" s="257"/>
      <c r="O344" s="257"/>
    </row>
    <row r="345" spans="1:15" hidden="1">
      <c r="A345" s="256">
        <v>45716</v>
      </c>
      <c r="B345" s="257" t="s">
        <v>3206</v>
      </c>
      <c r="C345" s="263" t="s">
        <v>174</v>
      </c>
      <c r="D345" s="258" t="s">
        <v>442</v>
      </c>
      <c r="E345" s="259">
        <v>6000</v>
      </c>
      <c r="F345" s="259">
        <v>10.35820216828246</v>
      </c>
      <c r="G345" s="260">
        <v>579.25099999999998</v>
      </c>
      <c r="H345" s="262" t="s">
        <v>184</v>
      </c>
      <c r="I345" s="262" t="s">
        <v>668</v>
      </c>
      <c r="J345" s="261" t="s">
        <v>98</v>
      </c>
      <c r="K345" s="265" t="s">
        <v>202</v>
      </c>
      <c r="L345" s="261" t="s">
        <v>2085</v>
      </c>
      <c r="M345" s="257"/>
      <c r="N345" s="257"/>
      <c r="O345" s="257"/>
    </row>
    <row r="346" spans="1:15" hidden="1">
      <c r="A346" s="256">
        <v>45716</v>
      </c>
      <c r="B346" s="257" t="s">
        <v>3164</v>
      </c>
      <c r="C346" s="263" t="s">
        <v>177</v>
      </c>
      <c r="D346" s="258" t="s">
        <v>442</v>
      </c>
      <c r="E346" s="259">
        <v>60000</v>
      </c>
      <c r="F346" s="259">
        <v>103.5820216828246</v>
      </c>
      <c r="G346" s="260">
        <v>579.25099999999998</v>
      </c>
      <c r="H346" s="262" t="s">
        <v>184</v>
      </c>
      <c r="I346" s="262" t="s">
        <v>669</v>
      </c>
      <c r="J346" s="261" t="s">
        <v>98</v>
      </c>
      <c r="K346" s="265" t="s">
        <v>202</v>
      </c>
      <c r="L346" s="261" t="s">
        <v>2085</v>
      </c>
      <c r="M346" s="257"/>
      <c r="N346" s="257"/>
      <c r="O346" s="257"/>
    </row>
    <row r="347" spans="1:15" hidden="1">
      <c r="A347" s="256">
        <v>45716</v>
      </c>
      <c r="B347" s="257" t="s">
        <v>670</v>
      </c>
      <c r="C347" s="263" t="s">
        <v>174</v>
      </c>
      <c r="D347" s="258" t="s">
        <v>442</v>
      </c>
      <c r="E347" s="259">
        <v>66800</v>
      </c>
      <c r="F347" s="259">
        <v>115.32131747354472</v>
      </c>
      <c r="G347" s="260">
        <v>579.25099999999998</v>
      </c>
      <c r="H347" s="262" t="s">
        <v>184</v>
      </c>
      <c r="I347" s="262" t="s">
        <v>671</v>
      </c>
      <c r="J347" s="261" t="s">
        <v>98</v>
      </c>
      <c r="K347" s="265" t="s">
        <v>202</v>
      </c>
      <c r="L347" s="261" t="s">
        <v>2085</v>
      </c>
      <c r="M347" s="257"/>
      <c r="N347" s="257"/>
      <c r="O347" s="257"/>
    </row>
    <row r="348" spans="1:15" hidden="1">
      <c r="A348" s="256">
        <v>45716</v>
      </c>
      <c r="B348" s="257" t="s">
        <v>2992</v>
      </c>
      <c r="C348" s="263" t="s">
        <v>177</v>
      </c>
      <c r="D348" s="258" t="s">
        <v>442</v>
      </c>
      <c r="E348" s="259">
        <v>60000</v>
      </c>
      <c r="F348" s="259">
        <v>103.5820216828246</v>
      </c>
      <c r="G348" s="260">
        <v>579.25099999999998</v>
      </c>
      <c r="H348" s="261" t="s">
        <v>175</v>
      </c>
      <c r="I348" s="261" t="s">
        <v>679</v>
      </c>
      <c r="J348" s="261" t="s">
        <v>98</v>
      </c>
      <c r="K348" s="265" t="s">
        <v>202</v>
      </c>
      <c r="L348" s="261" t="s">
        <v>2085</v>
      </c>
      <c r="M348" s="257"/>
      <c r="N348" s="257"/>
      <c r="O348" s="257"/>
    </row>
    <row r="349" spans="1:15" hidden="1">
      <c r="A349" s="256">
        <v>45716</v>
      </c>
      <c r="B349" s="257" t="s">
        <v>3207</v>
      </c>
      <c r="C349" s="263" t="s">
        <v>174</v>
      </c>
      <c r="D349" s="258" t="s">
        <v>442</v>
      </c>
      <c r="E349" s="259">
        <v>6000</v>
      </c>
      <c r="F349" s="259">
        <v>10.35820216828246</v>
      </c>
      <c r="G349" s="260">
        <v>579.25099999999998</v>
      </c>
      <c r="H349" s="261" t="s">
        <v>175</v>
      </c>
      <c r="I349" s="261" t="s">
        <v>680</v>
      </c>
      <c r="J349" s="261" t="s">
        <v>98</v>
      </c>
      <c r="K349" s="265" t="s">
        <v>202</v>
      </c>
      <c r="L349" s="261" t="s">
        <v>2085</v>
      </c>
      <c r="M349" s="257"/>
      <c r="N349" s="257"/>
      <c r="O349" s="257"/>
    </row>
    <row r="350" spans="1:15" hidden="1">
      <c r="A350" s="256">
        <v>45716</v>
      </c>
      <c r="B350" s="257" t="s">
        <v>681</v>
      </c>
      <c r="C350" s="263" t="s">
        <v>174</v>
      </c>
      <c r="D350" s="258" t="s">
        <v>442</v>
      </c>
      <c r="E350" s="259">
        <v>53700</v>
      </c>
      <c r="F350" s="259">
        <v>92.705909406128029</v>
      </c>
      <c r="G350" s="260">
        <v>579.25099999999998</v>
      </c>
      <c r="H350" s="261" t="s">
        <v>175</v>
      </c>
      <c r="I350" s="261" t="s">
        <v>682</v>
      </c>
      <c r="J350" s="261" t="s">
        <v>98</v>
      </c>
      <c r="K350" s="265" t="s">
        <v>202</v>
      </c>
      <c r="L350" s="261" t="s">
        <v>2085</v>
      </c>
      <c r="M350" s="257"/>
      <c r="N350" s="257"/>
      <c r="O350" s="257"/>
    </row>
    <row r="351" spans="1:15" hidden="1">
      <c r="A351" s="256">
        <v>45716</v>
      </c>
      <c r="B351" s="257" t="s">
        <v>3176</v>
      </c>
      <c r="C351" s="263" t="s">
        <v>177</v>
      </c>
      <c r="D351" s="258" t="s">
        <v>442</v>
      </c>
      <c r="E351" s="259">
        <v>30000</v>
      </c>
      <c r="F351" s="259">
        <v>51.791010841412302</v>
      </c>
      <c r="G351" s="260">
        <v>579.25099999999998</v>
      </c>
      <c r="H351" s="261" t="s">
        <v>317</v>
      </c>
      <c r="I351" s="261" t="s">
        <v>760</v>
      </c>
      <c r="J351" s="261" t="s">
        <v>98</v>
      </c>
      <c r="K351" s="265" t="s">
        <v>202</v>
      </c>
      <c r="L351" s="261" t="s">
        <v>2085</v>
      </c>
      <c r="M351" s="257"/>
      <c r="N351" s="257"/>
      <c r="O351" s="257"/>
    </row>
    <row r="352" spans="1:15" hidden="1">
      <c r="A352" s="256">
        <v>45716</v>
      </c>
      <c r="B352" s="257" t="s">
        <v>3066</v>
      </c>
      <c r="C352" s="263" t="s">
        <v>174</v>
      </c>
      <c r="D352" s="258" t="s">
        <v>442</v>
      </c>
      <c r="E352" s="259">
        <v>7000</v>
      </c>
      <c r="F352" s="259">
        <v>12.084569196329538</v>
      </c>
      <c r="G352" s="260">
        <v>579.25099999999998</v>
      </c>
      <c r="H352" s="261" t="s">
        <v>317</v>
      </c>
      <c r="I352" s="261" t="s">
        <v>761</v>
      </c>
      <c r="J352" s="261" t="s">
        <v>98</v>
      </c>
      <c r="K352" s="265" t="s">
        <v>202</v>
      </c>
      <c r="L352" s="261" t="s">
        <v>2085</v>
      </c>
      <c r="M352" s="257"/>
      <c r="N352" s="257"/>
      <c r="O352" s="257"/>
    </row>
    <row r="353" spans="1:15" hidden="1">
      <c r="A353" s="256">
        <v>45716</v>
      </c>
      <c r="B353" s="257" t="s">
        <v>762</v>
      </c>
      <c r="C353" s="263" t="s">
        <v>174</v>
      </c>
      <c r="D353" s="258" t="s">
        <v>442</v>
      </c>
      <c r="E353" s="259">
        <v>66500</v>
      </c>
      <c r="F353" s="259">
        <v>114.80340736513061</v>
      </c>
      <c r="G353" s="260">
        <v>579.25099999999998</v>
      </c>
      <c r="H353" s="261" t="s">
        <v>317</v>
      </c>
      <c r="I353" s="261" t="s">
        <v>763</v>
      </c>
      <c r="J353" s="261" t="s">
        <v>98</v>
      </c>
      <c r="K353" s="265" t="s">
        <v>202</v>
      </c>
      <c r="L353" s="261" t="s">
        <v>2085</v>
      </c>
      <c r="M353" s="257"/>
      <c r="N353" s="257"/>
      <c r="O353" s="257"/>
    </row>
    <row r="354" spans="1:15" hidden="1">
      <c r="A354" s="256">
        <v>45716</v>
      </c>
      <c r="B354" s="257" t="s">
        <v>713</v>
      </c>
      <c r="C354" s="263" t="s">
        <v>1163</v>
      </c>
      <c r="D354" s="258" t="s">
        <v>117</v>
      </c>
      <c r="E354" s="259">
        <v>24675</v>
      </c>
      <c r="F354" s="259">
        <v>42.598106417061622</v>
      </c>
      <c r="G354" s="260">
        <v>579.25099999999998</v>
      </c>
      <c r="H354" s="261" t="s">
        <v>187</v>
      </c>
      <c r="I354" s="261" t="s">
        <v>714</v>
      </c>
      <c r="J354" s="261" t="s">
        <v>98</v>
      </c>
      <c r="K354" s="265" t="s">
        <v>202</v>
      </c>
      <c r="L354" s="261" t="s">
        <v>2085</v>
      </c>
      <c r="M354" s="257"/>
      <c r="N354" s="257"/>
      <c r="O354" s="257"/>
    </row>
    <row r="355" spans="1:15" hidden="1">
      <c r="A355" s="256">
        <v>45716</v>
      </c>
      <c r="B355" s="257" t="s">
        <v>715</v>
      </c>
      <c r="C355" s="263" t="s">
        <v>174</v>
      </c>
      <c r="D355" s="258" t="s">
        <v>117</v>
      </c>
      <c r="E355" s="259">
        <v>35500</v>
      </c>
      <c r="F355" s="259">
        <v>61.286029495671229</v>
      </c>
      <c r="G355" s="260">
        <v>579.25099999999998</v>
      </c>
      <c r="H355" s="261" t="s">
        <v>187</v>
      </c>
      <c r="I355" s="261" t="s">
        <v>716</v>
      </c>
      <c r="J355" s="261" t="s">
        <v>98</v>
      </c>
      <c r="K355" s="265" t="s">
        <v>202</v>
      </c>
      <c r="L355" s="261" t="s">
        <v>2085</v>
      </c>
      <c r="M355" s="257"/>
      <c r="N355" s="257"/>
      <c r="O355" s="257"/>
    </row>
    <row r="356" spans="1:15" hidden="1">
      <c r="A356" s="256">
        <v>45716</v>
      </c>
      <c r="B356" s="257" t="s">
        <v>518</v>
      </c>
      <c r="C356" s="257" t="s">
        <v>313</v>
      </c>
      <c r="D356" s="258" t="s">
        <v>2087</v>
      </c>
      <c r="E356" s="259">
        <v>18000</v>
      </c>
      <c r="F356" s="259">
        <v>31.074606504847381</v>
      </c>
      <c r="G356" s="260">
        <v>579.25099999999998</v>
      </c>
      <c r="H356" s="261" t="s">
        <v>190</v>
      </c>
      <c r="I356" s="261" t="s">
        <v>519</v>
      </c>
      <c r="J356" s="261" t="s">
        <v>98</v>
      </c>
      <c r="K356" s="265" t="s">
        <v>202</v>
      </c>
      <c r="L356" s="261" t="s">
        <v>2085</v>
      </c>
      <c r="M356" s="257"/>
      <c r="N356" s="257"/>
      <c r="O356" s="257"/>
    </row>
    <row r="357" spans="1:15" hidden="1">
      <c r="A357" s="256">
        <v>45716</v>
      </c>
      <c r="B357" s="257" t="s">
        <v>764</v>
      </c>
      <c r="C357" s="263" t="s">
        <v>174</v>
      </c>
      <c r="D357" s="258" t="s">
        <v>117</v>
      </c>
      <c r="E357" s="259">
        <v>45000</v>
      </c>
      <c r="F357" s="259">
        <v>77.68651626211846</v>
      </c>
      <c r="G357" s="260">
        <v>579.25099999999998</v>
      </c>
      <c r="H357" s="261" t="s">
        <v>190</v>
      </c>
      <c r="I357" s="261" t="s">
        <v>765</v>
      </c>
      <c r="J357" s="261" t="s">
        <v>98</v>
      </c>
      <c r="K357" s="265" t="s">
        <v>202</v>
      </c>
      <c r="L357" s="261" t="s">
        <v>2085</v>
      </c>
      <c r="M357" s="257"/>
      <c r="N357" s="257"/>
      <c r="O357" s="257"/>
    </row>
    <row r="358" spans="1:15" hidden="1">
      <c r="A358" s="256">
        <v>45716</v>
      </c>
      <c r="B358" s="257" t="s">
        <v>493</v>
      </c>
      <c r="C358" s="263" t="s">
        <v>177</v>
      </c>
      <c r="D358" s="257" t="s">
        <v>120</v>
      </c>
      <c r="E358" s="259">
        <v>45000</v>
      </c>
      <c r="F358" s="259">
        <v>77.68651626211846</v>
      </c>
      <c r="G358" s="260">
        <v>579.25099999999998</v>
      </c>
      <c r="H358" s="261" t="s">
        <v>213</v>
      </c>
      <c r="I358" s="261" t="s">
        <v>494</v>
      </c>
      <c r="J358" s="261" t="s">
        <v>98</v>
      </c>
      <c r="K358" s="265" t="s">
        <v>202</v>
      </c>
      <c r="L358" s="261" t="s">
        <v>2085</v>
      </c>
      <c r="M358" s="257"/>
      <c r="N358" s="257"/>
      <c r="O358" s="257"/>
    </row>
    <row r="359" spans="1:15" hidden="1">
      <c r="A359" s="256">
        <v>45716</v>
      </c>
      <c r="B359" s="257" t="s">
        <v>275</v>
      </c>
      <c r="C359" s="263" t="s">
        <v>174</v>
      </c>
      <c r="D359" s="257" t="s">
        <v>120</v>
      </c>
      <c r="E359" s="259">
        <v>7000</v>
      </c>
      <c r="F359" s="259">
        <v>12.084569196329538</v>
      </c>
      <c r="G359" s="260">
        <v>579.25099999999998</v>
      </c>
      <c r="H359" s="261" t="s">
        <v>213</v>
      </c>
      <c r="I359" s="261" t="s">
        <v>495</v>
      </c>
      <c r="J359" s="261" t="s">
        <v>98</v>
      </c>
      <c r="K359" s="265" t="s">
        <v>202</v>
      </c>
      <c r="L359" s="261" t="s">
        <v>2085</v>
      </c>
      <c r="M359" s="257"/>
      <c r="N359" s="257"/>
      <c r="O359" s="257"/>
    </row>
    <row r="360" spans="1:15" hidden="1">
      <c r="A360" s="256">
        <v>45716</v>
      </c>
      <c r="B360" s="257" t="s">
        <v>496</v>
      </c>
      <c r="C360" s="263" t="s">
        <v>174</v>
      </c>
      <c r="D360" s="257" t="s">
        <v>120</v>
      </c>
      <c r="E360" s="259">
        <v>33500</v>
      </c>
      <c r="F360" s="259">
        <v>57.833295439577071</v>
      </c>
      <c r="G360" s="260">
        <v>579.25099999999998</v>
      </c>
      <c r="H360" s="261" t="s">
        <v>213</v>
      </c>
      <c r="I360" s="261" t="s">
        <v>497</v>
      </c>
      <c r="J360" s="261" t="s">
        <v>98</v>
      </c>
      <c r="K360" s="265" t="s">
        <v>202</v>
      </c>
      <c r="L360" s="261" t="s">
        <v>2085</v>
      </c>
      <c r="M360" s="257"/>
      <c r="N360" s="257"/>
      <c r="O360" s="257"/>
    </row>
    <row r="361" spans="1:15" hidden="1">
      <c r="A361" s="256">
        <v>45716</v>
      </c>
      <c r="B361" s="257" t="s">
        <v>502</v>
      </c>
      <c r="C361" s="263" t="s">
        <v>2088</v>
      </c>
      <c r="D361" s="257" t="s">
        <v>120</v>
      </c>
      <c r="E361" s="259">
        <v>200000</v>
      </c>
      <c r="F361" s="259">
        <v>345.27340560941536</v>
      </c>
      <c r="G361" s="260">
        <v>579.25099999999998</v>
      </c>
      <c r="H361" s="261" t="s">
        <v>213</v>
      </c>
      <c r="I361" s="261" t="s">
        <v>503</v>
      </c>
      <c r="J361" s="261" t="s">
        <v>98</v>
      </c>
      <c r="K361" s="265" t="s">
        <v>202</v>
      </c>
      <c r="L361" s="261" t="s">
        <v>2085</v>
      </c>
      <c r="M361" s="257"/>
      <c r="N361" s="257"/>
      <c r="O361" s="257"/>
    </row>
    <row r="362" spans="1:15" hidden="1">
      <c r="A362" s="267">
        <v>45717</v>
      </c>
      <c r="B362" s="257" t="s">
        <v>1107</v>
      </c>
      <c r="C362" s="263" t="s">
        <v>177</v>
      </c>
      <c r="D362" s="258" t="s">
        <v>117</v>
      </c>
      <c r="E362" s="268">
        <v>75000</v>
      </c>
      <c r="F362" s="259">
        <v>129.47754945610797</v>
      </c>
      <c r="G362" s="269">
        <v>579.25099999999998</v>
      </c>
      <c r="H362" s="261" t="s">
        <v>200</v>
      </c>
      <c r="I362" s="261" t="s">
        <v>1133</v>
      </c>
      <c r="J362" s="261" t="s">
        <v>98</v>
      </c>
      <c r="K362" s="265" t="s">
        <v>202</v>
      </c>
      <c r="L362" s="261" t="s">
        <v>155</v>
      </c>
      <c r="M362" s="257"/>
      <c r="N362" s="257"/>
      <c r="O362" s="257"/>
    </row>
    <row r="363" spans="1:15" hidden="1">
      <c r="A363" s="267">
        <v>45717</v>
      </c>
      <c r="B363" s="257" t="s">
        <v>1061</v>
      </c>
      <c r="C363" s="263" t="s">
        <v>174</v>
      </c>
      <c r="D363" s="258" t="s">
        <v>117</v>
      </c>
      <c r="E363" s="268">
        <v>7000</v>
      </c>
      <c r="F363" s="259">
        <v>12.084571282570078</v>
      </c>
      <c r="G363" s="269">
        <v>579.25099999999998</v>
      </c>
      <c r="H363" s="261" t="s">
        <v>190</v>
      </c>
      <c r="I363" s="261" t="s">
        <v>1062</v>
      </c>
      <c r="J363" s="261" t="s">
        <v>98</v>
      </c>
      <c r="K363" s="265" t="s">
        <v>202</v>
      </c>
      <c r="L363" s="261" t="s">
        <v>155</v>
      </c>
      <c r="M363" s="257"/>
      <c r="N363" s="257"/>
      <c r="O363" s="257"/>
    </row>
    <row r="364" spans="1:15" hidden="1">
      <c r="A364" s="267">
        <v>45717</v>
      </c>
      <c r="B364" s="257" t="s">
        <v>1063</v>
      </c>
      <c r="C364" s="263" t="s">
        <v>177</v>
      </c>
      <c r="D364" s="258" t="s">
        <v>117</v>
      </c>
      <c r="E364" s="268">
        <v>135000</v>
      </c>
      <c r="F364" s="259">
        <v>233.05958902099437</v>
      </c>
      <c r="G364" s="269">
        <v>579.25099999999998</v>
      </c>
      <c r="H364" s="261" t="s">
        <v>190</v>
      </c>
      <c r="I364" s="261" t="s">
        <v>1064</v>
      </c>
      <c r="J364" s="261" t="s">
        <v>98</v>
      </c>
      <c r="K364" s="265" t="s">
        <v>202</v>
      </c>
      <c r="L364" s="261" t="s">
        <v>155</v>
      </c>
      <c r="M364" s="257"/>
      <c r="N364" s="257"/>
      <c r="O364" s="257"/>
    </row>
    <row r="365" spans="1:15" hidden="1">
      <c r="A365" s="267">
        <v>45719</v>
      </c>
      <c r="B365" s="257" t="s">
        <v>776</v>
      </c>
      <c r="C365" s="257" t="s">
        <v>152</v>
      </c>
      <c r="D365" s="257" t="s">
        <v>119</v>
      </c>
      <c r="E365" s="268">
        <v>47000</v>
      </c>
      <c r="F365" s="259">
        <v>81.139264325827668</v>
      </c>
      <c r="G365" s="269">
        <v>579.25099999999998</v>
      </c>
      <c r="H365" s="261" t="s">
        <v>157</v>
      </c>
      <c r="I365" s="261" t="s">
        <v>824</v>
      </c>
      <c r="J365" s="261" t="s">
        <v>98</v>
      </c>
      <c r="K365" s="265" t="s">
        <v>202</v>
      </c>
      <c r="L365" s="261" t="s">
        <v>155</v>
      </c>
      <c r="M365" s="257"/>
      <c r="N365" s="257"/>
      <c r="O365" s="257"/>
    </row>
    <row r="366" spans="1:15" hidden="1">
      <c r="A366" s="267">
        <v>45719</v>
      </c>
      <c r="B366" s="257" t="s">
        <v>777</v>
      </c>
      <c r="C366" s="257" t="s">
        <v>152</v>
      </c>
      <c r="D366" s="258" t="s">
        <v>117</v>
      </c>
      <c r="E366" s="268">
        <v>74000</v>
      </c>
      <c r="F366" s="259">
        <v>127.75118213002654</v>
      </c>
      <c r="G366" s="269">
        <v>579.25099999999998</v>
      </c>
      <c r="H366" s="261" t="s">
        <v>157</v>
      </c>
      <c r="I366" s="261" t="s">
        <v>825</v>
      </c>
      <c r="J366" s="261" t="s">
        <v>98</v>
      </c>
      <c r="K366" s="265" t="s">
        <v>202</v>
      </c>
      <c r="L366" s="261" t="s">
        <v>155</v>
      </c>
      <c r="M366" s="257"/>
      <c r="N366" s="257"/>
      <c r="O366" s="257"/>
    </row>
    <row r="367" spans="1:15" hidden="1">
      <c r="A367" s="267">
        <v>45719</v>
      </c>
      <c r="B367" s="257" t="s">
        <v>778</v>
      </c>
      <c r="C367" s="257" t="s">
        <v>152</v>
      </c>
      <c r="D367" s="258" t="s">
        <v>442</v>
      </c>
      <c r="E367" s="268">
        <v>88000</v>
      </c>
      <c r="F367" s="259">
        <v>151.9203246951667</v>
      </c>
      <c r="G367" s="269">
        <v>579.25099999999998</v>
      </c>
      <c r="H367" s="261" t="s">
        <v>157</v>
      </c>
      <c r="I367" s="261" t="s">
        <v>826</v>
      </c>
      <c r="J367" s="261" t="s">
        <v>98</v>
      </c>
      <c r="K367" s="265" t="s">
        <v>202</v>
      </c>
      <c r="L367" s="261" t="s">
        <v>155</v>
      </c>
      <c r="M367" s="257"/>
      <c r="N367" s="257"/>
      <c r="O367" s="257"/>
    </row>
    <row r="368" spans="1:15" hidden="1">
      <c r="A368" s="267">
        <v>45719</v>
      </c>
      <c r="B368" s="257" t="s">
        <v>779</v>
      </c>
      <c r="C368" s="257" t="s">
        <v>152</v>
      </c>
      <c r="D368" s="257" t="s">
        <v>120</v>
      </c>
      <c r="E368" s="268">
        <v>10000</v>
      </c>
      <c r="F368" s="259">
        <v>17.263673260814397</v>
      </c>
      <c r="G368" s="269">
        <v>579.25099999999998</v>
      </c>
      <c r="H368" s="261" t="s">
        <v>157</v>
      </c>
      <c r="I368" s="261" t="s">
        <v>827</v>
      </c>
      <c r="J368" s="261" t="s">
        <v>98</v>
      </c>
      <c r="K368" s="265" t="s">
        <v>202</v>
      </c>
      <c r="L368" s="261" t="s">
        <v>155</v>
      </c>
      <c r="M368" s="257"/>
      <c r="N368" s="257"/>
      <c r="O368" s="257"/>
    </row>
    <row r="369" spans="1:15" hidden="1">
      <c r="A369" s="267">
        <v>45719</v>
      </c>
      <c r="B369" s="257" t="s">
        <v>780</v>
      </c>
      <c r="C369" s="257" t="s">
        <v>152</v>
      </c>
      <c r="D369" s="258" t="s">
        <v>117</v>
      </c>
      <c r="E369" s="268">
        <v>10000</v>
      </c>
      <c r="F369" s="259">
        <v>17.263673260814397</v>
      </c>
      <c r="G369" s="269">
        <v>579.25099999999998</v>
      </c>
      <c r="H369" s="261" t="s">
        <v>157</v>
      </c>
      <c r="I369" s="261" t="s">
        <v>828</v>
      </c>
      <c r="J369" s="261" t="s">
        <v>98</v>
      </c>
      <c r="K369" s="265" t="s">
        <v>202</v>
      </c>
      <c r="L369" s="261" t="s">
        <v>155</v>
      </c>
      <c r="M369" s="257"/>
      <c r="N369" s="257"/>
      <c r="O369" s="257"/>
    </row>
    <row r="370" spans="1:15" hidden="1">
      <c r="A370" s="267">
        <v>45719</v>
      </c>
      <c r="B370" s="257" t="s">
        <v>781</v>
      </c>
      <c r="C370" s="257" t="s">
        <v>152</v>
      </c>
      <c r="D370" s="258" t="s">
        <v>442</v>
      </c>
      <c r="E370" s="268">
        <v>16000</v>
      </c>
      <c r="F370" s="259">
        <v>27.621877217303034</v>
      </c>
      <c r="G370" s="269">
        <v>579.25099999999998</v>
      </c>
      <c r="H370" s="261" t="s">
        <v>157</v>
      </c>
      <c r="I370" s="261" t="s">
        <v>829</v>
      </c>
      <c r="J370" s="261" t="s">
        <v>98</v>
      </c>
      <c r="K370" s="265" t="s">
        <v>202</v>
      </c>
      <c r="L370" s="261" t="s">
        <v>155</v>
      </c>
      <c r="M370" s="257"/>
      <c r="N370" s="257"/>
      <c r="O370" s="257"/>
    </row>
    <row r="371" spans="1:15" hidden="1">
      <c r="A371" s="267">
        <v>45719</v>
      </c>
      <c r="B371" s="257" t="s">
        <v>782</v>
      </c>
      <c r="C371" s="257" t="s">
        <v>152</v>
      </c>
      <c r="D371" s="257" t="s">
        <v>120</v>
      </c>
      <c r="E371" s="268">
        <v>11000</v>
      </c>
      <c r="F371" s="259">
        <v>18.990040586895837</v>
      </c>
      <c r="G371" s="269">
        <v>579.25099999999998</v>
      </c>
      <c r="H371" s="261" t="s">
        <v>157</v>
      </c>
      <c r="I371" s="261" t="s">
        <v>830</v>
      </c>
      <c r="J371" s="261" t="s">
        <v>98</v>
      </c>
      <c r="K371" s="265" t="s">
        <v>202</v>
      </c>
      <c r="L371" s="261" t="s">
        <v>155</v>
      </c>
      <c r="M371" s="257"/>
      <c r="N371" s="257"/>
      <c r="O371" s="257"/>
    </row>
    <row r="372" spans="1:15" hidden="1">
      <c r="A372" s="267">
        <v>45719</v>
      </c>
      <c r="B372" s="257" t="s">
        <v>783</v>
      </c>
      <c r="C372" s="263" t="s">
        <v>1542</v>
      </c>
      <c r="D372" s="258" t="s">
        <v>117</v>
      </c>
      <c r="E372" s="268">
        <v>65000</v>
      </c>
      <c r="F372" s="259">
        <v>112.21387619529358</v>
      </c>
      <c r="G372" s="269">
        <v>579.25099999999998</v>
      </c>
      <c r="H372" s="261" t="s">
        <v>157</v>
      </c>
      <c r="I372" s="261" t="s">
        <v>831</v>
      </c>
      <c r="J372" s="261" t="s">
        <v>98</v>
      </c>
      <c r="K372" s="265" t="s">
        <v>202</v>
      </c>
      <c r="L372" s="261" t="s">
        <v>155</v>
      </c>
      <c r="M372" s="257"/>
      <c r="N372" s="257"/>
      <c r="O372" s="257"/>
    </row>
    <row r="373" spans="1:15" hidden="1">
      <c r="A373" s="267">
        <v>45719</v>
      </c>
      <c r="B373" s="257" t="s">
        <v>785</v>
      </c>
      <c r="C373" s="257" t="s">
        <v>265</v>
      </c>
      <c r="D373" s="257" t="s">
        <v>2087</v>
      </c>
      <c r="E373" s="268">
        <v>45000</v>
      </c>
      <c r="F373" s="259">
        <v>77.686529673664793</v>
      </c>
      <c r="G373" s="269">
        <v>579.25099999999998</v>
      </c>
      <c r="H373" s="261" t="s">
        <v>157</v>
      </c>
      <c r="I373" s="261" t="s">
        <v>879</v>
      </c>
      <c r="J373" s="261" t="s">
        <v>98</v>
      </c>
      <c r="K373" s="265" t="s">
        <v>202</v>
      </c>
      <c r="L373" s="261" t="s">
        <v>155</v>
      </c>
      <c r="M373" s="257"/>
      <c r="N373" s="257"/>
      <c r="O373" s="257"/>
    </row>
    <row r="374" spans="1:15" hidden="1">
      <c r="A374" s="267">
        <v>45719</v>
      </c>
      <c r="B374" s="257" t="s">
        <v>568</v>
      </c>
      <c r="C374" s="257" t="s">
        <v>127</v>
      </c>
      <c r="D374" s="257" t="s">
        <v>120</v>
      </c>
      <c r="E374" s="268">
        <v>30000</v>
      </c>
      <c r="F374" s="259">
        <v>51.791019782443193</v>
      </c>
      <c r="G374" s="269">
        <v>579.25099999999998</v>
      </c>
      <c r="H374" s="261" t="s">
        <v>157</v>
      </c>
      <c r="I374" s="261" t="s">
        <v>880</v>
      </c>
      <c r="J374" s="261" t="s">
        <v>98</v>
      </c>
      <c r="K374" s="265" t="s">
        <v>202</v>
      </c>
      <c r="L374" s="261" t="s">
        <v>155</v>
      </c>
      <c r="M374" s="257"/>
      <c r="N374" s="257"/>
      <c r="O374" s="257"/>
    </row>
    <row r="375" spans="1:15" hidden="1">
      <c r="A375" s="267">
        <v>45719</v>
      </c>
      <c r="B375" s="257" t="s">
        <v>558</v>
      </c>
      <c r="C375" s="257" t="s">
        <v>127</v>
      </c>
      <c r="D375" s="257" t="s">
        <v>118</v>
      </c>
      <c r="E375" s="268">
        <v>94430</v>
      </c>
      <c r="F375" s="259">
        <v>163.02086660187035</v>
      </c>
      <c r="G375" s="269">
        <v>579.25099999999998</v>
      </c>
      <c r="H375" s="261" t="s">
        <v>157</v>
      </c>
      <c r="I375" s="261" t="s">
        <v>881</v>
      </c>
      <c r="J375" s="261" t="s">
        <v>98</v>
      </c>
      <c r="K375" s="265" t="s">
        <v>202</v>
      </c>
      <c r="L375" s="261" t="s">
        <v>155</v>
      </c>
      <c r="M375" s="257"/>
      <c r="N375" s="257"/>
      <c r="O375" s="257"/>
    </row>
    <row r="376" spans="1:15" hidden="1">
      <c r="A376" s="267">
        <v>45719</v>
      </c>
      <c r="B376" s="257" t="s">
        <v>786</v>
      </c>
      <c r="C376" s="257" t="s">
        <v>265</v>
      </c>
      <c r="D376" s="257" t="s">
        <v>2087</v>
      </c>
      <c r="E376" s="268">
        <v>20000</v>
      </c>
      <c r="F376" s="259">
        <v>34.527346521628793</v>
      </c>
      <c r="G376" s="269">
        <v>579.25099999999998</v>
      </c>
      <c r="H376" s="261" t="s">
        <v>157</v>
      </c>
      <c r="I376" s="261" t="s">
        <v>882</v>
      </c>
      <c r="J376" s="261" t="s">
        <v>98</v>
      </c>
      <c r="K376" s="265" t="s">
        <v>202</v>
      </c>
      <c r="L376" s="261" t="s">
        <v>155</v>
      </c>
      <c r="M376" s="257"/>
      <c r="N376" s="257"/>
      <c r="O376" s="257"/>
    </row>
    <row r="377" spans="1:15" hidden="1">
      <c r="A377" s="267">
        <v>45719</v>
      </c>
      <c r="B377" s="257" t="s">
        <v>788</v>
      </c>
      <c r="C377" s="257" t="s">
        <v>265</v>
      </c>
      <c r="D377" s="257" t="s">
        <v>2087</v>
      </c>
      <c r="E377" s="268">
        <v>45000</v>
      </c>
      <c r="F377" s="259">
        <v>77.686529673664793</v>
      </c>
      <c r="G377" s="269">
        <v>579.25099999999998</v>
      </c>
      <c r="H377" s="261" t="s">
        <v>157</v>
      </c>
      <c r="I377" s="261" t="s">
        <v>884</v>
      </c>
      <c r="J377" s="261" t="s">
        <v>98</v>
      </c>
      <c r="K377" s="265" t="s">
        <v>202</v>
      </c>
      <c r="L377" s="261" t="s">
        <v>155</v>
      </c>
      <c r="M377" s="257"/>
      <c r="N377" s="257"/>
      <c r="O377" s="257"/>
    </row>
    <row r="378" spans="1:15" hidden="1">
      <c r="A378" s="267">
        <v>45719</v>
      </c>
      <c r="B378" s="257" t="s">
        <v>564</v>
      </c>
      <c r="C378" s="257" t="s">
        <v>127</v>
      </c>
      <c r="D378" s="258" t="s">
        <v>117</v>
      </c>
      <c r="E378" s="268">
        <v>30000</v>
      </c>
      <c r="F378" s="259">
        <v>51.791019782443193</v>
      </c>
      <c r="G378" s="269">
        <v>579.25099999999998</v>
      </c>
      <c r="H378" s="261" t="s">
        <v>157</v>
      </c>
      <c r="I378" s="261" t="s">
        <v>885</v>
      </c>
      <c r="J378" s="261" t="s">
        <v>98</v>
      </c>
      <c r="K378" s="265" t="s">
        <v>202</v>
      </c>
      <c r="L378" s="261" t="s">
        <v>155</v>
      </c>
      <c r="M378" s="257"/>
      <c r="N378" s="257"/>
      <c r="O378" s="257"/>
    </row>
    <row r="379" spans="1:15" hidden="1">
      <c r="A379" s="267">
        <v>45719</v>
      </c>
      <c r="B379" s="257" t="s">
        <v>566</v>
      </c>
      <c r="C379" s="257" t="s">
        <v>127</v>
      </c>
      <c r="D379" s="258" t="s">
        <v>117</v>
      </c>
      <c r="E379" s="268">
        <v>30000</v>
      </c>
      <c r="F379" s="259">
        <v>51.791019782443193</v>
      </c>
      <c r="G379" s="269">
        <v>579.25099999999998</v>
      </c>
      <c r="H379" s="261" t="s">
        <v>157</v>
      </c>
      <c r="I379" s="261" t="s">
        <v>886</v>
      </c>
      <c r="J379" s="261" t="s">
        <v>98</v>
      </c>
      <c r="K379" s="265" t="s">
        <v>202</v>
      </c>
      <c r="L379" s="261" t="s">
        <v>155</v>
      </c>
      <c r="M379" s="257"/>
      <c r="N379" s="257"/>
      <c r="O379" s="257"/>
    </row>
    <row r="380" spans="1:15" hidden="1">
      <c r="A380" s="267">
        <v>45719</v>
      </c>
      <c r="B380" s="257" t="s">
        <v>1148</v>
      </c>
      <c r="C380" s="263" t="s">
        <v>1163</v>
      </c>
      <c r="D380" s="257" t="s">
        <v>118</v>
      </c>
      <c r="E380" s="268">
        <v>25000</v>
      </c>
      <c r="F380" s="259">
        <v>43.159183152035993</v>
      </c>
      <c r="G380" s="269">
        <v>579.25099999999998</v>
      </c>
      <c r="H380" s="261" t="s">
        <v>583</v>
      </c>
      <c r="I380" s="261" t="s">
        <v>832</v>
      </c>
      <c r="J380" s="261" t="s">
        <v>98</v>
      </c>
      <c r="K380" s="265" t="s">
        <v>202</v>
      </c>
      <c r="L380" s="261" t="s">
        <v>155</v>
      </c>
      <c r="M380" s="257"/>
      <c r="N380" s="257"/>
      <c r="O380" s="257"/>
    </row>
    <row r="381" spans="1:15" hidden="1">
      <c r="A381" s="267">
        <v>45719</v>
      </c>
      <c r="B381" s="257" t="s">
        <v>787</v>
      </c>
      <c r="C381" s="257" t="s">
        <v>127</v>
      </c>
      <c r="D381" s="257" t="s">
        <v>118</v>
      </c>
      <c r="E381" s="268">
        <v>15000</v>
      </c>
      <c r="F381" s="259">
        <v>25.895509891221597</v>
      </c>
      <c r="G381" s="269">
        <v>579.25099999999998</v>
      </c>
      <c r="H381" s="261" t="s">
        <v>583</v>
      </c>
      <c r="I381" s="261" t="s">
        <v>883</v>
      </c>
      <c r="J381" s="261" t="s">
        <v>98</v>
      </c>
      <c r="K381" s="265" t="s">
        <v>202</v>
      </c>
      <c r="L381" s="261" t="s">
        <v>155</v>
      </c>
      <c r="M381" s="257"/>
      <c r="N381" s="257"/>
      <c r="O381" s="257"/>
    </row>
    <row r="382" spans="1:15" hidden="1">
      <c r="A382" s="267">
        <v>45719</v>
      </c>
      <c r="B382" s="270" t="s">
        <v>784</v>
      </c>
      <c r="C382" s="263" t="s">
        <v>1163</v>
      </c>
      <c r="D382" s="257" t="s">
        <v>118</v>
      </c>
      <c r="E382" s="268">
        <v>62500</v>
      </c>
      <c r="F382" s="259">
        <v>107.89795788008998</v>
      </c>
      <c r="G382" s="269">
        <v>579.25099999999998</v>
      </c>
      <c r="H382" s="261" t="s">
        <v>190</v>
      </c>
      <c r="I382" s="261" t="s">
        <v>833</v>
      </c>
      <c r="J382" s="261" t="s">
        <v>98</v>
      </c>
      <c r="K382" s="265" t="s">
        <v>202</v>
      </c>
      <c r="L382" s="261" t="s">
        <v>155</v>
      </c>
      <c r="M382" s="257"/>
      <c r="N382" s="257"/>
      <c r="O382" s="257"/>
    </row>
    <row r="383" spans="1:15" hidden="1">
      <c r="A383" s="267">
        <v>45719</v>
      </c>
      <c r="B383" s="257" t="s">
        <v>485</v>
      </c>
      <c r="C383" s="263" t="s">
        <v>126</v>
      </c>
      <c r="D383" s="257" t="s">
        <v>118</v>
      </c>
      <c r="E383" s="268">
        <v>500000</v>
      </c>
      <c r="F383" s="259">
        <v>863.18366304071981</v>
      </c>
      <c r="G383" s="269">
        <v>579.25099999999998</v>
      </c>
      <c r="H383" s="261" t="s">
        <v>148</v>
      </c>
      <c r="I383" s="261" t="s">
        <v>935</v>
      </c>
      <c r="J383" s="261" t="s">
        <v>98</v>
      </c>
      <c r="K383" s="265" t="s">
        <v>202</v>
      </c>
      <c r="L383" s="261" t="s">
        <v>155</v>
      </c>
      <c r="M383" s="257"/>
      <c r="N383" s="257"/>
      <c r="O383" s="257"/>
    </row>
    <row r="384" spans="1:15" hidden="1">
      <c r="A384" s="267">
        <v>45719</v>
      </c>
      <c r="B384" s="257" t="s">
        <v>894</v>
      </c>
      <c r="C384" s="257" t="s">
        <v>127</v>
      </c>
      <c r="D384" s="258" t="s">
        <v>117</v>
      </c>
      <c r="E384" s="268">
        <v>200000</v>
      </c>
      <c r="F384" s="259">
        <v>345.27346521628795</v>
      </c>
      <c r="G384" s="269">
        <v>579.25099999999998</v>
      </c>
      <c r="H384" s="261" t="s">
        <v>148</v>
      </c>
      <c r="I384" s="261" t="s">
        <v>936</v>
      </c>
      <c r="J384" s="261" t="s">
        <v>98</v>
      </c>
      <c r="K384" s="265" t="s">
        <v>202</v>
      </c>
      <c r="L384" s="261" t="s">
        <v>155</v>
      </c>
      <c r="M384" s="257"/>
      <c r="N384" s="257"/>
      <c r="O384" s="257"/>
    </row>
    <row r="385" spans="1:15" hidden="1">
      <c r="A385" s="267">
        <v>45719</v>
      </c>
      <c r="B385" s="257" t="s">
        <v>895</v>
      </c>
      <c r="C385" s="257" t="s">
        <v>127</v>
      </c>
      <c r="D385" s="258" t="s">
        <v>117</v>
      </c>
      <c r="E385" s="268">
        <v>200000</v>
      </c>
      <c r="F385" s="259">
        <v>345.27346521628795</v>
      </c>
      <c r="G385" s="269">
        <v>579.25099999999998</v>
      </c>
      <c r="H385" s="261" t="s">
        <v>148</v>
      </c>
      <c r="I385" s="261" t="s">
        <v>937</v>
      </c>
      <c r="J385" s="261" t="s">
        <v>98</v>
      </c>
      <c r="K385" s="265" t="s">
        <v>202</v>
      </c>
      <c r="L385" s="261" t="s">
        <v>155</v>
      </c>
      <c r="M385" s="257"/>
      <c r="N385" s="257"/>
      <c r="O385" s="257"/>
    </row>
    <row r="386" spans="1:15" hidden="1">
      <c r="A386" s="267">
        <v>45719</v>
      </c>
      <c r="B386" s="257" t="s">
        <v>896</v>
      </c>
      <c r="C386" s="257" t="s">
        <v>127</v>
      </c>
      <c r="D386" s="258" t="s">
        <v>117</v>
      </c>
      <c r="E386" s="268">
        <v>200000</v>
      </c>
      <c r="F386" s="259">
        <v>345.27346521628795</v>
      </c>
      <c r="G386" s="269">
        <v>579.25099999999998</v>
      </c>
      <c r="H386" s="261" t="s">
        <v>148</v>
      </c>
      <c r="I386" s="261" t="s">
        <v>938</v>
      </c>
      <c r="J386" s="261" t="s">
        <v>98</v>
      </c>
      <c r="K386" s="265" t="s">
        <v>202</v>
      </c>
      <c r="L386" s="261" t="s">
        <v>155</v>
      </c>
      <c r="M386" s="257"/>
      <c r="N386" s="257"/>
      <c r="O386" s="257"/>
    </row>
    <row r="387" spans="1:15" hidden="1">
      <c r="A387" s="267">
        <v>45719</v>
      </c>
      <c r="B387" s="257" t="s">
        <v>897</v>
      </c>
      <c r="C387" s="257" t="s">
        <v>127</v>
      </c>
      <c r="D387" s="258" t="s">
        <v>117</v>
      </c>
      <c r="E387" s="268">
        <v>551482</v>
      </c>
      <c r="F387" s="259">
        <v>952.06050572204458</v>
      </c>
      <c r="G387" s="269">
        <v>579.25099999999998</v>
      </c>
      <c r="H387" s="261" t="s">
        <v>148</v>
      </c>
      <c r="I387" s="261" t="s">
        <v>939</v>
      </c>
      <c r="J387" s="261" t="s">
        <v>98</v>
      </c>
      <c r="K387" s="265" t="s">
        <v>202</v>
      </c>
      <c r="L387" s="261" t="s">
        <v>155</v>
      </c>
      <c r="M387" s="257"/>
      <c r="N387" s="257"/>
      <c r="O387" s="257"/>
    </row>
    <row r="388" spans="1:15" hidden="1">
      <c r="A388" s="267">
        <v>45719</v>
      </c>
      <c r="B388" s="257" t="s">
        <v>898</v>
      </c>
      <c r="C388" s="257" t="s">
        <v>127</v>
      </c>
      <c r="D388" s="257" t="s">
        <v>118</v>
      </c>
      <c r="E388" s="268">
        <v>384789</v>
      </c>
      <c r="F388" s="259">
        <v>664.2871570355511</v>
      </c>
      <c r="G388" s="269">
        <v>579.25099999999998</v>
      </c>
      <c r="H388" s="261" t="s">
        <v>148</v>
      </c>
      <c r="I388" s="261" t="s">
        <v>940</v>
      </c>
      <c r="J388" s="261" t="s">
        <v>98</v>
      </c>
      <c r="K388" s="265" t="s">
        <v>202</v>
      </c>
      <c r="L388" s="261" t="s">
        <v>155</v>
      </c>
      <c r="M388" s="257"/>
      <c r="N388" s="257"/>
      <c r="O388" s="257"/>
    </row>
    <row r="389" spans="1:15" hidden="1">
      <c r="A389" s="267">
        <v>45719</v>
      </c>
      <c r="B389" s="257" t="s">
        <v>899</v>
      </c>
      <c r="C389" s="257" t="s">
        <v>127</v>
      </c>
      <c r="D389" s="257" t="s">
        <v>120</v>
      </c>
      <c r="E389" s="268">
        <v>238140</v>
      </c>
      <c r="F389" s="259">
        <v>411.11711503303405</v>
      </c>
      <c r="G389" s="269">
        <v>579.25099999999998</v>
      </c>
      <c r="H389" s="261" t="s">
        <v>148</v>
      </c>
      <c r="I389" s="261" t="s">
        <v>941</v>
      </c>
      <c r="J389" s="261" t="s">
        <v>98</v>
      </c>
      <c r="K389" s="265" t="s">
        <v>202</v>
      </c>
      <c r="L389" s="261" t="s">
        <v>155</v>
      </c>
      <c r="M389" s="257"/>
      <c r="N389" s="257"/>
      <c r="O389" s="257"/>
    </row>
    <row r="390" spans="1:15" hidden="1">
      <c r="A390" s="267">
        <v>45719</v>
      </c>
      <c r="B390" s="257" t="s">
        <v>900</v>
      </c>
      <c r="C390" s="257" t="s">
        <v>127</v>
      </c>
      <c r="D390" s="258" t="s">
        <v>442</v>
      </c>
      <c r="E390" s="268">
        <v>405000</v>
      </c>
      <c r="F390" s="259">
        <v>699.17876706298307</v>
      </c>
      <c r="G390" s="269">
        <v>579.25099999999998</v>
      </c>
      <c r="H390" s="261" t="s">
        <v>148</v>
      </c>
      <c r="I390" s="261" t="s">
        <v>942</v>
      </c>
      <c r="J390" s="261" t="s">
        <v>98</v>
      </c>
      <c r="K390" s="265" t="s">
        <v>202</v>
      </c>
      <c r="L390" s="261" t="s">
        <v>155</v>
      </c>
      <c r="M390" s="257"/>
      <c r="N390" s="257"/>
      <c r="O390" s="257"/>
    </row>
    <row r="391" spans="1:15" hidden="1">
      <c r="A391" s="267">
        <v>45719</v>
      </c>
      <c r="B391" s="257" t="s">
        <v>901</v>
      </c>
      <c r="C391" s="257" t="s">
        <v>127</v>
      </c>
      <c r="D391" s="258" t="s">
        <v>442</v>
      </c>
      <c r="E391" s="268">
        <v>460000</v>
      </c>
      <c r="F391" s="259">
        <v>794.12896999746226</v>
      </c>
      <c r="G391" s="269">
        <v>579.25099999999998</v>
      </c>
      <c r="H391" s="261" t="s">
        <v>148</v>
      </c>
      <c r="I391" s="261" t="s">
        <v>943</v>
      </c>
      <c r="J391" s="261" t="s">
        <v>98</v>
      </c>
      <c r="K391" s="265" t="s">
        <v>202</v>
      </c>
      <c r="L391" s="261" t="s">
        <v>155</v>
      </c>
      <c r="M391" s="257"/>
      <c r="N391" s="257"/>
      <c r="O391" s="257"/>
    </row>
    <row r="392" spans="1:15" hidden="1">
      <c r="A392" s="267">
        <v>45719</v>
      </c>
      <c r="B392" s="257" t="s">
        <v>902</v>
      </c>
      <c r="C392" s="257" t="s">
        <v>127</v>
      </c>
      <c r="D392" s="258" t="s">
        <v>442</v>
      </c>
      <c r="E392" s="268">
        <v>255000</v>
      </c>
      <c r="F392" s="259">
        <v>440.22366815076714</v>
      </c>
      <c r="G392" s="269">
        <v>579.25099999999998</v>
      </c>
      <c r="H392" s="261" t="s">
        <v>148</v>
      </c>
      <c r="I392" s="261" t="s">
        <v>944</v>
      </c>
      <c r="J392" s="261" t="s">
        <v>98</v>
      </c>
      <c r="K392" s="265" t="s">
        <v>202</v>
      </c>
      <c r="L392" s="261" t="s">
        <v>155</v>
      </c>
      <c r="M392" s="257"/>
      <c r="N392" s="257"/>
      <c r="O392" s="257"/>
    </row>
    <row r="393" spans="1:15" hidden="1">
      <c r="A393" s="267">
        <v>45719</v>
      </c>
      <c r="B393" s="257" t="s">
        <v>903</v>
      </c>
      <c r="C393" s="257" t="s">
        <v>127</v>
      </c>
      <c r="D393" s="258" t="s">
        <v>442</v>
      </c>
      <c r="E393" s="268">
        <v>255000</v>
      </c>
      <c r="F393" s="259">
        <v>440.22366815076714</v>
      </c>
      <c r="G393" s="269">
        <v>579.25099999999998</v>
      </c>
      <c r="H393" s="261" t="s">
        <v>148</v>
      </c>
      <c r="I393" s="261" t="s">
        <v>945</v>
      </c>
      <c r="J393" s="261" t="s">
        <v>98</v>
      </c>
      <c r="K393" s="265" t="s">
        <v>202</v>
      </c>
      <c r="L393" s="261" t="s">
        <v>155</v>
      </c>
      <c r="M393" s="257"/>
      <c r="N393" s="257"/>
      <c r="O393" s="257"/>
    </row>
    <row r="394" spans="1:15" hidden="1">
      <c r="A394" s="267">
        <v>45719</v>
      </c>
      <c r="B394" s="257" t="s">
        <v>904</v>
      </c>
      <c r="C394" s="257" t="s">
        <v>304</v>
      </c>
      <c r="D394" s="257" t="s">
        <v>118</v>
      </c>
      <c r="E394" s="268">
        <v>260000</v>
      </c>
      <c r="F394" s="259">
        <v>448.85550478117432</v>
      </c>
      <c r="G394" s="269">
        <v>579.25099999999998</v>
      </c>
      <c r="H394" s="261" t="s">
        <v>148</v>
      </c>
      <c r="I394" s="261" t="s">
        <v>946</v>
      </c>
      <c r="J394" s="261" t="s">
        <v>98</v>
      </c>
      <c r="K394" s="265" t="s">
        <v>202</v>
      </c>
      <c r="L394" s="261" t="s">
        <v>155</v>
      </c>
      <c r="M394" s="257"/>
      <c r="N394" s="257"/>
      <c r="O394" s="257"/>
    </row>
    <row r="395" spans="1:15" hidden="1">
      <c r="A395" s="267">
        <v>45719</v>
      </c>
      <c r="B395" s="257" t="s">
        <v>905</v>
      </c>
      <c r="C395" s="257" t="s">
        <v>128</v>
      </c>
      <c r="D395" s="257" t="s">
        <v>118</v>
      </c>
      <c r="E395" s="268">
        <v>10665</v>
      </c>
      <c r="F395" s="259">
        <v>18.411707532658554</v>
      </c>
      <c r="G395" s="269">
        <v>579.25099999999998</v>
      </c>
      <c r="H395" s="261" t="s">
        <v>148</v>
      </c>
      <c r="I395" s="261" t="s">
        <v>947</v>
      </c>
      <c r="J395" s="261" t="s">
        <v>98</v>
      </c>
      <c r="K395" s="265" t="s">
        <v>202</v>
      </c>
      <c r="L395" s="261" t="s">
        <v>155</v>
      </c>
      <c r="M395" s="257"/>
      <c r="N395" s="257"/>
      <c r="O395" s="257"/>
    </row>
    <row r="396" spans="1:15" hidden="1">
      <c r="A396" s="267">
        <v>45719</v>
      </c>
      <c r="B396" s="257" t="s">
        <v>906</v>
      </c>
      <c r="C396" s="257" t="s">
        <v>123</v>
      </c>
      <c r="D396" s="258" t="s">
        <v>117</v>
      </c>
      <c r="E396" s="268">
        <v>300000</v>
      </c>
      <c r="F396" s="259">
        <v>517.91019782443186</v>
      </c>
      <c r="G396" s="269">
        <v>579.25099999999998</v>
      </c>
      <c r="H396" s="261" t="s">
        <v>148</v>
      </c>
      <c r="I396" s="261" t="s">
        <v>948</v>
      </c>
      <c r="J396" s="261" t="s">
        <v>98</v>
      </c>
      <c r="K396" s="265" t="s">
        <v>202</v>
      </c>
      <c r="L396" s="261" t="s">
        <v>155</v>
      </c>
      <c r="M396" s="257"/>
      <c r="N396" s="257"/>
      <c r="O396" s="257"/>
    </row>
    <row r="397" spans="1:15" hidden="1">
      <c r="A397" s="267">
        <v>45720</v>
      </c>
      <c r="B397" s="257" t="s">
        <v>1149</v>
      </c>
      <c r="C397" s="263" t="s">
        <v>365</v>
      </c>
      <c r="D397" s="258" t="s">
        <v>442</v>
      </c>
      <c r="E397" s="268">
        <v>30000</v>
      </c>
      <c r="F397" s="259">
        <v>51.791019782443193</v>
      </c>
      <c r="G397" s="269">
        <v>579.25099999999998</v>
      </c>
      <c r="H397" s="261" t="s">
        <v>153</v>
      </c>
      <c r="I397" s="261" t="s">
        <v>835</v>
      </c>
      <c r="J397" s="261" t="s">
        <v>98</v>
      </c>
      <c r="K397" s="265" t="s">
        <v>202</v>
      </c>
      <c r="L397" s="261" t="s">
        <v>155</v>
      </c>
      <c r="M397" s="257"/>
      <c r="N397" s="257"/>
      <c r="O397" s="257"/>
    </row>
    <row r="398" spans="1:15" hidden="1">
      <c r="A398" s="267">
        <v>45720</v>
      </c>
      <c r="B398" s="257" t="s">
        <v>970</v>
      </c>
      <c r="C398" s="263" t="s">
        <v>174</v>
      </c>
      <c r="D398" s="257" t="s">
        <v>118</v>
      </c>
      <c r="E398" s="268">
        <v>9900</v>
      </c>
      <c r="F398" s="259">
        <v>17.091036528206253</v>
      </c>
      <c r="G398" s="269">
        <v>579.25099999999998</v>
      </c>
      <c r="H398" s="261" t="s">
        <v>157</v>
      </c>
      <c r="I398" s="261" t="s">
        <v>1124</v>
      </c>
      <c r="J398" s="261" t="s">
        <v>98</v>
      </c>
      <c r="K398" s="265" t="s">
        <v>202</v>
      </c>
      <c r="L398" s="261" t="s">
        <v>155</v>
      </c>
      <c r="M398" s="257"/>
      <c r="N398" s="257"/>
      <c r="O398" s="257"/>
    </row>
    <row r="399" spans="1:15" hidden="1">
      <c r="A399" s="267">
        <v>45720</v>
      </c>
      <c r="B399" s="257" t="s">
        <v>790</v>
      </c>
      <c r="C399" s="257" t="s">
        <v>127</v>
      </c>
      <c r="D399" s="257" t="s">
        <v>118</v>
      </c>
      <c r="E399" s="268">
        <v>131428</v>
      </c>
      <c r="F399" s="259">
        <v>226.89300493223146</v>
      </c>
      <c r="G399" s="269">
        <v>579.25099999999998</v>
      </c>
      <c r="H399" s="261" t="s">
        <v>157</v>
      </c>
      <c r="I399" s="261" t="s">
        <v>834</v>
      </c>
      <c r="J399" s="261" t="s">
        <v>98</v>
      </c>
      <c r="K399" s="265" t="s">
        <v>202</v>
      </c>
      <c r="L399" s="261" t="s">
        <v>155</v>
      </c>
      <c r="M399" s="257"/>
      <c r="N399" s="257"/>
      <c r="O399" s="257"/>
    </row>
    <row r="400" spans="1:15" hidden="1">
      <c r="A400" s="267">
        <v>45720</v>
      </c>
      <c r="B400" s="257" t="s">
        <v>794</v>
      </c>
      <c r="C400" s="263" t="s">
        <v>174</v>
      </c>
      <c r="D400" s="258" t="s">
        <v>117</v>
      </c>
      <c r="E400" s="268">
        <v>20000</v>
      </c>
      <c r="F400" s="259">
        <v>34.527346521628793</v>
      </c>
      <c r="G400" s="269">
        <v>579.25099999999998</v>
      </c>
      <c r="H400" s="261" t="s">
        <v>157</v>
      </c>
      <c r="I400" s="261" t="s">
        <v>839</v>
      </c>
      <c r="J400" s="261" t="s">
        <v>98</v>
      </c>
      <c r="K400" s="265" t="s">
        <v>202</v>
      </c>
      <c r="L400" s="261" t="s">
        <v>155</v>
      </c>
      <c r="M400" s="257"/>
      <c r="N400" s="257"/>
      <c r="O400" s="257"/>
    </row>
    <row r="401" spans="1:15" hidden="1">
      <c r="A401" s="267">
        <v>45720</v>
      </c>
      <c r="B401" s="257" t="s">
        <v>795</v>
      </c>
      <c r="C401" s="263" t="s">
        <v>177</v>
      </c>
      <c r="D401" s="258" t="s">
        <v>117</v>
      </c>
      <c r="E401" s="268">
        <v>50000</v>
      </c>
      <c r="F401" s="259">
        <v>86.318366304071986</v>
      </c>
      <c r="G401" s="269">
        <v>579.25099999999998</v>
      </c>
      <c r="H401" s="261" t="s">
        <v>157</v>
      </c>
      <c r="I401" s="261" t="s">
        <v>840</v>
      </c>
      <c r="J401" s="261" t="s">
        <v>98</v>
      </c>
      <c r="K401" s="265" t="s">
        <v>202</v>
      </c>
      <c r="L401" s="261" t="s">
        <v>155</v>
      </c>
      <c r="M401" s="257"/>
      <c r="N401" s="257"/>
      <c r="O401" s="257"/>
    </row>
    <row r="402" spans="1:15" hidden="1">
      <c r="A402" s="267">
        <v>45720</v>
      </c>
      <c r="B402" s="257" t="s">
        <v>560</v>
      </c>
      <c r="C402" s="257" t="s">
        <v>127</v>
      </c>
      <c r="D402" s="258" t="s">
        <v>117</v>
      </c>
      <c r="E402" s="268">
        <v>30000</v>
      </c>
      <c r="F402" s="259">
        <v>51.791019782443193</v>
      </c>
      <c r="G402" s="269">
        <v>579.25099999999998</v>
      </c>
      <c r="H402" s="261" t="s">
        <v>157</v>
      </c>
      <c r="I402" s="261" t="s">
        <v>888</v>
      </c>
      <c r="J402" s="261" t="s">
        <v>98</v>
      </c>
      <c r="K402" s="265" t="s">
        <v>202</v>
      </c>
      <c r="L402" s="261" t="s">
        <v>155</v>
      </c>
      <c r="M402" s="257"/>
      <c r="N402" s="257"/>
      <c r="O402" s="257"/>
    </row>
    <row r="403" spans="1:15" hidden="1">
      <c r="A403" s="267">
        <v>45720</v>
      </c>
      <c r="B403" s="257" t="s">
        <v>796</v>
      </c>
      <c r="C403" s="257" t="s">
        <v>265</v>
      </c>
      <c r="D403" s="257" t="s">
        <v>2087</v>
      </c>
      <c r="E403" s="268">
        <v>50000</v>
      </c>
      <c r="F403" s="259">
        <v>86.318366304071986</v>
      </c>
      <c r="G403" s="269">
        <v>579.25099999999998</v>
      </c>
      <c r="H403" s="261" t="s">
        <v>157</v>
      </c>
      <c r="I403" s="261" t="s">
        <v>889</v>
      </c>
      <c r="J403" s="261" t="s">
        <v>98</v>
      </c>
      <c r="K403" s="265" t="s">
        <v>202</v>
      </c>
      <c r="L403" s="261" t="s">
        <v>155</v>
      </c>
      <c r="M403" s="257"/>
      <c r="N403" s="257"/>
      <c r="O403" s="257"/>
    </row>
    <row r="404" spans="1:15" hidden="1">
      <c r="A404" s="267">
        <v>45720</v>
      </c>
      <c r="B404" s="257" t="s">
        <v>792</v>
      </c>
      <c r="C404" s="264" t="s">
        <v>2086</v>
      </c>
      <c r="D404" s="257" t="s">
        <v>118</v>
      </c>
      <c r="E404" s="268">
        <v>8700</v>
      </c>
      <c r="F404" s="259">
        <v>15.019395736908526</v>
      </c>
      <c r="G404" s="269">
        <v>579.25099999999998</v>
      </c>
      <c r="H404" s="261" t="s">
        <v>583</v>
      </c>
      <c r="I404" s="261" t="s">
        <v>837</v>
      </c>
      <c r="J404" s="261" t="s">
        <v>98</v>
      </c>
      <c r="K404" s="265" t="s">
        <v>202</v>
      </c>
      <c r="L404" s="261" t="s">
        <v>155</v>
      </c>
      <c r="M404" s="257"/>
      <c r="N404" s="257"/>
      <c r="O404" s="257"/>
    </row>
    <row r="405" spans="1:15" hidden="1">
      <c r="A405" s="267">
        <v>45720</v>
      </c>
      <c r="B405" s="257" t="s">
        <v>793</v>
      </c>
      <c r="C405" s="263" t="s">
        <v>177</v>
      </c>
      <c r="D405" s="258" t="s">
        <v>117</v>
      </c>
      <c r="E405" s="268">
        <v>100000</v>
      </c>
      <c r="F405" s="259">
        <v>172.63673260814397</v>
      </c>
      <c r="G405" s="269">
        <v>579.25099999999998</v>
      </c>
      <c r="H405" s="261" t="s">
        <v>583</v>
      </c>
      <c r="I405" s="261" t="s">
        <v>838</v>
      </c>
      <c r="J405" s="261" t="s">
        <v>98</v>
      </c>
      <c r="K405" s="265" t="s">
        <v>202</v>
      </c>
      <c r="L405" s="261" t="s">
        <v>155</v>
      </c>
      <c r="M405" s="257"/>
      <c r="N405" s="257"/>
      <c r="O405" s="257"/>
    </row>
    <row r="406" spans="1:15" hidden="1">
      <c r="A406" s="267">
        <v>45720</v>
      </c>
      <c r="B406" s="257" t="s">
        <v>987</v>
      </c>
      <c r="C406" s="257" t="s">
        <v>127</v>
      </c>
      <c r="D406" s="258" t="s">
        <v>988</v>
      </c>
      <c r="E406" s="268">
        <v>65000</v>
      </c>
      <c r="F406" s="259">
        <v>112.21387619529358</v>
      </c>
      <c r="G406" s="269">
        <v>579.25099999999998</v>
      </c>
      <c r="H406" s="261" t="s">
        <v>175</v>
      </c>
      <c r="I406" s="261" t="s">
        <v>989</v>
      </c>
      <c r="J406" s="261" t="s">
        <v>98</v>
      </c>
      <c r="K406" s="265" t="s">
        <v>202</v>
      </c>
      <c r="L406" s="261" t="s">
        <v>155</v>
      </c>
      <c r="M406" s="257"/>
      <c r="N406" s="257"/>
      <c r="O406" s="257"/>
    </row>
    <row r="407" spans="1:15" hidden="1">
      <c r="A407" s="267">
        <v>45720</v>
      </c>
      <c r="B407" s="257" t="s">
        <v>1150</v>
      </c>
      <c r="C407" s="263" t="s">
        <v>177</v>
      </c>
      <c r="D407" s="258" t="s">
        <v>117</v>
      </c>
      <c r="E407" s="268">
        <v>40000</v>
      </c>
      <c r="F407" s="259">
        <v>69.054693043257586</v>
      </c>
      <c r="G407" s="269">
        <v>579.25099999999998</v>
      </c>
      <c r="H407" s="261" t="s">
        <v>187</v>
      </c>
      <c r="I407" s="261" t="s">
        <v>1042</v>
      </c>
      <c r="J407" s="261" t="s">
        <v>98</v>
      </c>
      <c r="K407" s="265" t="s">
        <v>202</v>
      </c>
      <c r="L407" s="261" t="s">
        <v>155</v>
      </c>
      <c r="M407" s="257"/>
      <c r="N407" s="257"/>
      <c r="O407" s="257"/>
    </row>
    <row r="408" spans="1:15" hidden="1">
      <c r="A408" s="267">
        <v>45720</v>
      </c>
      <c r="B408" s="257" t="s">
        <v>791</v>
      </c>
      <c r="C408" s="264" t="s">
        <v>2086</v>
      </c>
      <c r="D408" s="257" t="s">
        <v>118</v>
      </c>
      <c r="E408" s="268">
        <v>1952</v>
      </c>
      <c r="F408" s="259">
        <v>3.3698690205109703</v>
      </c>
      <c r="G408" s="269">
        <v>579.25099999999998</v>
      </c>
      <c r="H408" s="261" t="s">
        <v>193</v>
      </c>
      <c r="I408" s="261" t="s">
        <v>836</v>
      </c>
      <c r="J408" s="261" t="s">
        <v>98</v>
      </c>
      <c r="K408" s="265" t="s">
        <v>202</v>
      </c>
      <c r="L408" s="271" t="s">
        <v>155</v>
      </c>
      <c r="M408" s="257"/>
      <c r="N408" s="257"/>
      <c r="O408" s="257"/>
    </row>
    <row r="409" spans="1:15" hidden="1">
      <c r="A409" s="267">
        <v>45720</v>
      </c>
      <c r="B409" s="257" t="s">
        <v>789</v>
      </c>
      <c r="C409" s="263" t="s">
        <v>2088</v>
      </c>
      <c r="D409" s="257" t="s">
        <v>120</v>
      </c>
      <c r="E409" s="268">
        <v>148000</v>
      </c>
      <c r="F409" s="259">
        <v>255.50236426005307</v>
      </c>
      <c r="G409" s="269">
        <v>579.25099999999998</v>
      </c>
      <c r="H409" s="261" t="s">
        <v>213</v>
      </c>
      <c r="I409" s="261" t="s">
        <v>887</v>
      </c>
      <c r="J409" s="261" t="s">
        <v>98</v>
      </c>
      <c r="K409" s="265" t="s">
        <v>202</v>
      </c>
      <c r="L409" s="261" t="s">
        <v>155</v>
      </c>
      <c r="M409" s="257"/>
      <c r="N409" s="257"/>
      <c r="O409" s="257"/>
    </row>
    <row r="410" spans="1:15" hidden="1">
      <c r="A410" s="267">
        <v>45721</v>
      </c>
      <c r="B410" s="257" t="s">
        <v>1108</v>
      </c>
      <c r="C410" s="263" t="s">
        <v>177</v>
      </c>
      <c r="D410" s="258" t="s">
        <v>117</v>
      </c>
      <c r="E410" s="268">
        <v>30000</v>
      </c>
      <c r="F410" s="259">
        <v>51.791019782443193</v>
      </c>
      <c r="G410" s="269">
        <v>579.25099999999998</v>
      </c>
      <c r="H410" s="261" t="s">
        <v>200</v>
      </c>
      <c r="I410" s="261" t="s">
        <v>1109</v>
      </c>
      <c r="J410" s="261" t="s">
        <v>98</v>
      </c>
      <c r="K410" s="265" t="s">
        <v>202</v>
      </c>
      <c r="L410" s="261" t="s">
        <v>155</v>
      </c>
      <c r="M410" s="257"/>
      <c r="N410" s="257"/>
      <c r="O410" s="257"/>
    </row>
    <row r="411" spans="1:15" hidden="1">
      <c r="A411" s="267">
        <v>45722</v>
      </c>
      <c r="B411" s="257" t="s">
        <v>2091</v>
      </c>
      <c r="C411" s="257" t="s">
        <v>127</v>
      </c>
      <c r="D411" s="257" t="s">
        <v>119</v>
      </c>
      <c r="E411" s="268">
        <v>174625</v>
      </c>
      <c r="F411" s="259">
        <v>301.46689431697143</v>
      </c>
      <c r="G411" s="269">
        <v>579.25099999999998</v>
      </c>
      <c r="H411" s="261" t="s">
        <v>153</v>
      </c>
      <c r="I411" s="261" t="s">
        <v>964</v>
      </c>
      <c r="J411" s="261" t="s">
        <v>98</v>
      </c>
      <c r="K411" s="265" t="s">
        <v>202</v>
      </c>
      <c r="L411" s="261" t="s">
        <v>155</v>
      </c>
      <c r="M411" s="257"/>
      <c r="N411" s="257"/>
      <c r="O411" s="257"/>
    </row>
    <row r="412" spans="1:15" hidden="1">
      <c r="A412" s="267">
        <v>45722</v>
      </c>
      <c r="B412" s="257" t="s">
        <v>584</v>
      </c>
      <c r="C412" s="263" t="s">
        <v>365</v>
      </c>
      <c r="D412" s="258" t="s">
        <v>442</v>
      </c>
      <c r="E412" s="268">
        <v>30000</v>
      </c>
      <c r="F412" s="259">
        <v>51.791019782443193</v>
      </c>
      <c r="G412" s="269">
        <v>579.25099999999998</v>
      </c>
      <c r="H412" s="261" t="s">
        <v>153</v>
      </c>
      <c r="I412" s="261" t="s">
        <v>841</v>
      </c>
      <c r="J412" s="261" t="s">
        <v>98</v>
      </c>
      <c r="K412" s="265" t="s">
        <v>202</v>
      </c>
      <c r="L412" s="261" t="s">
        <v>155</v>
      </c>
      <c r="M412" s="257"/>
      <c r="N412" s="257"/>
      <c r="O412" s="257"/>
    </row>
    <row r="413" spans="1:15" hidden="1">
      <c r="A413" s="267">
        <v>45722</v>
      </c>
      <c r="B413" s="257" t="s">
        <v>3175</v>
      </c>
      <c r="C413" s="263" t="s">
        <v>174</v>
      </c>
      <c r="D413" s="258" t="s">
        <v>442</v>
      </c>
      <c r="E413" s="268">
        <v>7000</v>
      </c>
      <c r="F413" s="259">
        <v>12.084571282570078</v>
      </c>
      <c r="G413" s="269">
        <v>579.25099999999998</v>
      </c>
      <c r="H413" s="261" t="s">
        <v>323</v>
      </c>
      <c r="I413" s="261" t="s">
        <v>1033</v>
      </c>
      <c r="J413" s="261" t="s">
        <v>98</v>
      </c>
      <c r="K413" s="265" t="s">
        <v>202</v>
      </c>
      <c r="L413" s="261" t="s">
        <v>155</v>
      </c>
      <c r="M413" s="257"/>
      <c r="N413" s="257"/>
      <c r="O413" s="257"/>
    </row>
    <row r="414" spans="1:15" hidden="1">
      <c r="A414" s="267">
        <v>45722</v>
      </c>
      <c r="B414" s="257" t="s">
        <v>797</v>
      </c>
      <c r="C414" s="264" t="s">
        <v>2086</v>
      </c>
      <c r="D414" s="257" t="s">
        <v>118</v>
      </c>
      <c r="E414" s="268">
        <v>1952</v>
      </c>
      <c r="F414" s="259">
        <v>3.3698690205109703</v>
      </c>
      <c r="G414" s="269">
        <v>579.25099999999998</v>
      </c>
      <c r="H414" s="261" t="s">
        <v>193</v>
      </c>
      <c r="I414" s="261" t="s">
        <v>842</v>
      </c>
      <c r="J414" s="261" t="s">
        <v>98</v>
      </c>
      <c r="K414" s="265" t="s">
        <v>202</v>
      </c>
      <c r="L414" s="261" t="s">
        <v>155</v>
      </c>
      <c r="M414" s="257"/>
      <c r="N414" s="257"/>
      <c r="O414" s="257"/>
    </row>
    <row r="415" spans="1:15" hidden="1">
      <c r="A415" s="267">
        <v>45723</v>
      </c>
      <c r="B415" s="257" t="s">
        <v>1147</v>
      </c>
      <c r="C415" s="257" t="s">
        <v>304</v>
      </c>
      <c r="D415" s="257" t="s">
        <v>118</v>
      </c>
      <c r="E415" s="268">
        <v>20000</v>
      </c>
      <c r="F415" s="259">
        <v>34.527346521628793</v>
      </c>
      <c r="G415" s="269">
        <v>579.25099999999998</v>
      </c>
      <c r="H415" s="261" t="s">
        <v>153</v>
      </c>
      <c r="I415" s="261" t="s">
        <v>843</v>
      </c>
      <c r="J415" s="261" t="s">
        <v>98</v>
      </c>
      <c r="K415" s="265" t="s">
        <v>202</v>
      </c>
      <c r="L415" s="261" t="s">
        <v>155</v>
      </c>
      <c r="M415" s="257"/>
      <c r="N415" s="257"/>
      <c r="O415" s="257"/>
    </row>
    <row r="416" spans="1:15" hidden="1">
      <c r="A416" s="267">
        <v>45723</v>
      </c>
      <c r="B416" s="257" t="s">
        <v>3208</v>
      </c>
      <c r="C416" s="263" t="s">
        <v>177</v>
      </c>
      <c r="D416" s="258" t="s">
        <v>442</v>
      </c>
      <c r="E416" s="268">
        <v>170000</v>
      </c>
      <c r="F416" s="259">
        <v>293.48244543384476</v>
      </c>
      <c r="G416" s="269">
        <v>579.25099999999998</v>
      </c>
      <c r="H416" s="261" t="s">
        <v>323</v>
      </c>
      <c r="I416" s="261" t="s">
        <v>1034</v>
      </c>
      <c r="J416" s="261" t="s">
        <v>98</v>
      </c>
      <c r="K416" s="265" t="s">
        <v>202</v>
      </c>
      <c r="L416" s="261" t="s">
        <v>155</v>
      </c>
      <c r="M416" s="257"/>
      <c r="N416" s="257"/>
      <c r="O416" s="257"/>
    </row>
    <row r="417" spans="1:15" hidden="1">
      <c r="A417" s="291">
        <v>45723</v>
      </c>
      <c r="B417" s="257" t="s">
        <v>907</v>
      </c>
      <c r="C417" s="257" t="s">
        <v>125</v>
      </c>
      <c r="D417" s="257"/>
      <c r="E417" s="292"/>
      <c r="F417" s="293">
        <f t="shared" ref="F417:F418" si="0">+E417/G417</f>
        <v>0</v>
      </c>
      <c r="G417" s="294">
        <v>579.64599999999996</v>
      </c>
      <c r="H417" s="257" t="s">
        <v>148</v>
      </c>
      <c r="I417" s="257" t="s">
        <v>932</v>
      </c>
      <c r="J417" s="257" t="s">
        <v>98</v>
      </c>
      <c r="K417" s="257" t="s">
        <v>202</v>
      </c>
      <c r="L417" s="257" t="s">
        <v>155</v>
      </c>
      <c r="M417" s="298">
        <v>17389380</v>
      </c>
      <c r="N417" s="299">
        <v>30000</v>
      </c>
      <c r="O417" s="257"/>
    </row>
    <row r="418" spans="1:15" hidden="1">
      <c r="A418" s="291">
        <v>45723</v>
      </c>
      <c r="B418" s="257" t="s">
        <v>908</v>
      </c>
      <c r="C418" s="257" t="s">
        <v>125</v>
      </c>
      <c r="D418" s="257"/>
      <c r="E418" s="292"/>
      <c r="F418" s="293">
        <f t="shared" si="0"/>
        <v>0</v>
      </c>
      <c r="G418" s="257">
        <v>579.64599999999996</v>
      </c>
      <c r="H418" s="257" t="s">
        <v>148</v>
      </c>
      <c r="I418" s="257" t="s">
        <v>933</v>
      </c>
      <c r="J418" s="257" t="s">
        <v>98</v>
      </c>
      <c r="K418" s="257" t="s">
        <v>1132</v>
      </c>
      <c r="L418" s="257" t="s">
        <v>155</v>
      </c>
      <c r="M418" s="298">
        <v>2898230</v>
      </c>
      <c r="N418" s="299">
        <v>5000</v>
      </c>
      <c r="O418" s="257"/>
    </row>
    <row r="419" spans="1:15" hidden="1">
      <c r="A419" s="267">
        <v>45724</v>
      </c>
      <c r="B419" s="257" t="s">
        <v>1110</v>
      </c>
      <c r="C419" s="263" t="s">
        <v>177</v>
      </c>
      <c r="D419" s="258" t="s">
        <v>117</v>
      </c>
      <c r="E419" s="268">
        <v>105000</v>
      </c>
      <c r="F419" s="259">
        <v>181.14504369908531</v>
      </c>
      <c r="G419" s="269">
        <v>579.64599999999996</v>
      </c>
      <c r="H419" s="261" t="s">
        <v>200</v>
      </c>
      <c r="I419" s="261" t="s">
        <v>1134</v>
      </c>
      <c r="J419" s="261" t="s">
        <v>98</v>
      </c>
      <c r="K419" s="265" t="s">
        <v>202</v>
      </c>
      <c r="L419" s="261" t="s">
        <v>155</v>
      </c>
      <c r="M419" s="257"/>
      <c r="N419" s="257"/>
      <c r="O419" s="257"/>
    </row>
    <row r="420" spans="1:15" hidden="1">
      <c r="A420" s="267">
        <v>45724</v>
      </c>
      <c r="B420" s="257" t="s">
        <v>1111</v>
      </c>
      <c r="C420" s="263" t="s">
        <v>174</v>
      </c>
      <c r="D420" s="258" t="s">
        <v>117</v>
      </c>
      <c r="E420" s="268">
        <v>7000</v>
      </c>
      <c r="F420" s="259">
        <v>12.076336246605688</v>
      </c>
      <c r="G420" s="269">
        <v>579.64599999999996</v>
      </c>
      <c r="H420" s="261" t="s">
        <v>200</v>
      </c>
      <c r="I420" s="261" t="s">
        <v>1135</v>
      </c>
      <c r="J420" s="261" t="s">
        <v>98</v>
      </c>
      <c r="K420" s="265" t="s">
        <v>202</v>
      </c>
      <c r="L420" s="261" t="s">
        <v>155</v>
      </c>
      <c r="M420" s="257"/>
      <c r="N420" s="257"/>
      <c r="O420" s="257"/>
    </row>
    <row r="421" spans="1:15" hidden="1">
      <c r="A421" s="267">
        <v>45724</v>
      </c>
      <c r="B421" s="257" t="s">
        <v>1151</v>
      </c>
      <c r="C421" s="263" t="s">
        <v>177</v>
      </c>
      <c r="D421" s="258" t="s">
        <v>117</v>
      </c>
      <c r="E421" s="268">
        <v>165000</v>
      </c>
      <c r="F421" s="259">
        <v>284.6564972414198</v>
      </c>
      <c r="G421" s="269">
        <v>579.64599999999996</v>
      </c>
      <c r="H421" s="261" t="s">
        <v>187</v>
      </c>
      <c r="I421" s="261" t="s">
        <v>1043</v>
      </c>
      <c r="J421" s="261" t="s">
        <v>98</v>
      </c>
      <c r="K421" s="265" t="s">
        <v>202</v>
      </c>
      <c r="L421" s="261" t="s">
        <v>155</v>
      </c>
      <c r="M421" s="257"/>
      <c r="N421" s="257"/>
      <c r="O421" s="257"/>
    </row>
    <row r="422" spans="1:15" hidden="1">
      <c r="A422" s="267">
        <v>45726</v>
      </c>
      <c r="B422" s="257" t="s">
        <v>798</v>
      </c>
      <c r="C422" s="257" t="s">
        <v>127</v>
      </c>
      <c r="D422" s="258" t="s">
        <v>117</v>
      </c>
      <c r="E422" s="268">
        <v>30000</v>
      </c>
      <c r="F422" s="259">
        <v>51.755726771167232</v>
      </c>
      <c r="G422" s="269">
        <v>579.64599999999996</v>
      </c>
      <c r="H422" s="261" t="s">
        <v>157</v>
      </c>
      <c r="I422" s="261" t="s">
        <v>890</v>
      </c>
      <c r="J422" s="261" t="s">
        <v>98</v>
      </c>
      <c r="K422" s="265" t="s">
        <v>202</v>
      </c>
      <c r="L422" s="261" t="s">
        <v>155</v>
      </c>
      <c r="M422" s="257"/>
      <c r="N422" s="257"/>
      <c r="O422" s="257"/>
    </row>
    <row r="423" spans="1:15" hidden="1">
      <c r="A423" s="267">
        <v>45726</v>
      </c>
      <c r="B423" s="257" t="s">
        <v>799</v>
      </c>
      <c r="C423" s="257" t="s">
        <v>265</v>
      </c>
      <c r="D423" s="257" t="s">
        <v>2087</v>
      </c>
      <c r="E423" s="268">
        <v>45000</v>
      </c>
      <c r="F423" s="259">
        <v>77.633590156750856</v>
      </c>
      <c r="G423" s="269">
        <v>579.64599999999996</v>
      </c>
      <c r="H423" s="261" t="s">
        <v>157</v>
      </c>
      <c r="I423" s="261" t="s">
        <v>891</v>
      </c>
      <c r="J423" s="261" t="s">
        <v>98</v>
      </c>
      <c r="K423" s="265" t="s">
        <v>202</v>
      </c>
      <c r="L423" s="261" t="s">
        <v>155</v>
      </c>
      <c r="M423" s="257"/>
      <c r="N423" s="257"/>
      <c r="O423" s="257"/>
    </row>
    <row r="424" spans="1:15" hidden="1">
      <c r="A424" s="267">
        <v>45726</v>
      </c>
      <c r="B424" s="257" t="s">
        <v>3076</v>
      </c>
      <c r="C424" s="263" t="s">
        <v>174</v>
      </c>
      <c r="D424" s="258" t="s">
        <v>442</v>
      </c>
      <c r="E424" s="268">
        <v>10000</v>
      </c>
      <c r="F424" s="259">
        <v>17.251908923722411</v>
      </c>
      <c r="G424" s="269">
        <v>579.64599999999996</v>
      </c>
      <c r="H424" s="261" t="s">
        <v>184</v>
      </c>
      <c r="I424" s="261" t="s">
        <v>972</v>
      </c>
      <c r="J424" s="261" t="s">
        <v>98</v>
      </c>
      <c r="K424" s="265" t="s">
        <v>202</v>
      </c>
      <c r="L424" s="261" t="s">
        <v>155</v>
      </c>
      <c r="M424" s="257"/>
      <c r="N424" s="257"/>
      <c r="O424" s="257"/>
    </row>
    <row r="425" spans="1:15" hidden="1">
      <c r="A425" s="267">
        <v>45726</v>
      </c>
      <c r="B425" s="257" t="s">
        <v>1161</v>
      </c>
      <c r="C425" s="263" t="s">
        <v>365</v>
      </c>
      <c r="D425" s="258" t="s">
        <v>442</v>
      </c>
      <c r="E425" s="268">
        <v>16000</v>
      </c>
      <c r="F425" s="259">
        <v>27.603054277955859</v>
      </c>
      <c r="G425" s="269">
        <v>579.64599999999996</v>
      </c>
      <c r="H425" s="261" t="s">
        <v>323</v>
      </c>
      <c r="I425" s="261" t="s">
        <v>1035</v>
      </c>
      <c r="J425" s="261" t="s">
        <v>98</v>
      </c>
      <c r="K425" s="265" t="s">
        <v>202</v>
      </c>
      <c r="L425" s="261" t="s">
        <v>155</v>
      </c>
      <c r="M425" s="257"/>
      <c r="N425" s="257"/>
      <c r="O425" s="257"/>
    </row>
    <row r="426" spans="1:15" hidden="1">
      <c r="A426" s="267">
        <v>45726</v>
      </c>
      <c r="B426" s="257" t="s">
        <v>554</v>
      </c>
      <c r="C426" s="264" t="s">
        <v>2086</v>
      </c>
      <c r="D426" s="257" t="s">
        <v>118</v>
      </c>
      <c r="E426" s="268">
        <v>4170</v>
      </c>
      <c r="F426" s="259">
        <v>7.1940460211922455</v>
      </c>
      <c r="G426" s="269">
        <v>579.64599999999996</v>
      </c>
      <c r="H426" s="261" t="s">
        <v>193</v>
      </c>
      <c r="I426" s="261" t="s">
        <v>844</v>
      </c>
      <c r="J426" s="261" t="s">
        <v>98</v>
      </c>
      <c r="K426" s="265" t="s">
        <v>202</v>
      </c>
      <c r="L426" s="261" t="s">
        <v>155</v>
      </c>
      <c r="M426" s="257"/>
      <c r="N426" s="257"/>
      <c r="O426" s="257"/>
    </row>
    <row r="427" spans="1:15" hidden="1">
      <c r="A427" s="267">
        <v>45726</v>
      </c>
      <c r="B427" s="257" t="s">
        <v>909</v>
      </c>
      <c r="C427" s="257" t="s">
        <v>123</v>
      </c>
      <c r="D427" s="258" t="s">
        <v>117</v>
      </c>
      <c r="E427" s="268">
        <v>150000</v>
      </c>
      <c r="F427" s="259">
        <v>258.77863385583618</v>
      </c>
      <c r="G427" s="269">
        <v>579.64599999999996</v>
      </c>
      <c r="H427" s="261" t="s">
        <v>148</v>
      </c>
      <c r="I427" s="261" t="s">
        <v>949</v>
      </c>
      <c r="J427" s="261" t="s">
        <v>98</v>
      </c>
      <c r="K427" s="265" t="s">
        <v>202</v>
      </c>
      <c r="L427" s="261" t="s">
        <v>155</v>
      </c>
      <c r="M427" s="257"/>
      <c r="N427" s="257"/>
      <c r="O427" s="257"/>
    </row>
    <row r="428" spans="1:15" hidden="1">
      <c r="A428" s="267">
        <v>45726</v>
      </c>
      <c r="B428" s="257" t="s">
        <v>910</v>
      </c>
      <c r="C428" s="257" t="s">
        <v>123</v>
      </c>
      <c r="D428" s="258" t="s">
        <v>117</v>
      </c>
      <c r="E428" s="268">
        <v>150000</v>
      </c>
      <c r="F428" s="259">
        <v>258.77863385583618</v>
      </c>
      <c r="G428" s="269">
        <v>579.64599999999996</v>
      </c>
      <c r="H428" s="261" t="s">
        <v>148</v>
      </c>
      <c r="I428" s="261" t="s">
        <v>950</v>
      </c>
      <c r="J428" s="261" t="s">
        <v>98</v>
      </c>
      <c r="K428" s="265" t="s">
        <v>202</v>
      </c>
      <c r="L428" s="261" t="s">
        <v>155</v>
      </c>
      <c r="M428" s="257"/>
      <c r="N428" s="257"/>
      <c r="O428" s="257"/>
    </row>
    <row r="429" spans="1:15" hidden="1">
      <c r="A429" s="267">
        <v>45726</v>
      </c>
      <c r="B429" s="257" t="s">
        <v>911</v>
      </c>
      <c r="C429" s="257" t="s">
        <v>127</v>
      </c>
      <c r="D429" s="257" t="s">
        <v>119</v>
      </c>
      <c r="E429" s="268">
        <v>1311000</v>
      </c>
      <c r="F429" s="259">
        <v>2261.725259900008</v>
      </c>
      <c r="G429" s="269">
        <v>579.64599999999996</v>
      </c>
      <c r="H429" s="261" t="s">
        <v>148</v>
      </c>
      <c r="I429" s="261" t="s">
        <v>951</v>
      </c>
      <c r="J429" s="261" t="s">
        <v>98</v>
      </c>
      <c r="K429" s="265" t="s">
        <v>202</v>
      </c>
      <c r="L429" s="261" t="s">
        <v>155</v>
      </c>
      <c r="M429" s="257"/>
      <c r="N429" s="257"/>
      <c r="O429" s="257"/>
    </row>
    <row r="430" spans="1:15" hidden="1">
      <c r="A430" s="267">
        <v>45727</v>
      </c>
      <c r="B430" s="257" t="s">
        <v>801</v>
      </c>
      <c r="C430" s="257" t="s">
        <v>127</v>
      </c>
      <c r="D430" s="258" t="s">
        <v>988</v>
      </c>
      <c r="E430" s="268">
        <v>112000</v>
      </c>
      <c r="F430" s="259">
        <v>193.22137994569101</v>
      </c>
      <c r="G430" s="269">
        <v>579.64599999999996</v>
      </c>
      <c r="H430" s="261" t="s">
        <v>583</v>
      </c>
      <c r="I430" s="261" t="s">
        <v>846</v>
      </c>
      <c r="J430" s="261" t="s">
        <v>98</v>
      </c>
      <c r="K430" s="265" t="s">
        <v>202</v>
      </c>
      <c r="L430" s="261" t="s">
        <v>155</v>
      </c>
      <c r="M430" s="257"/>
      <c r="N430" s="257"/>
      <c r="O430" s="257"/>
    </row>
    <row r="431" spans="1:15" hidden="1">
      <c r="A431" s="267">
        <v>45727</v>
      </c>
      <c r="B431" s="257" t="s">
        <v>3209</v>
      </c>
      <c r="C431" s="263" t="s">
        <v>177</v>
      </c>
      <c r="D431" s="258" t="s">
        <v>442</v>
      </c>
      <c r="E431" s="268">
        <v>130000</v>
      </c>
      <c r="F431" s="259">
        <v>224.27481600839135</v>
      </c>
      <c r="G431" s="260">
        <v>579.64599999999996</v>
      </c>
      <c r="H431" s="261" t="s">
        <v>184</v>
      </c>
      <c r="I431" s="261" t="s">
        <v>973</v>
      </c>
      <c r="J431" s="261" t="s">
        <v>98</v>
      </c>
      <c r="K431" s="261" t="s">
        <v>1132</v>
      </c>
      <c r="L431" s="261" t="s">
        <v>155</v>
      </c>
      <c r="M431" s="257"/>
      <c r="N431" s="257"/>
      <c r="O431" s="257"/>
    </row>
    <row r="432" spans="1:15" hidden="1">
      <c r="A432" s="267">
        <v>45727</v>
      </c>
      <c r="B432" s="257" t="s">
        <v>3191</v>
      </c>
      <c r="C432" s="263" t="s">
        <v>177</v>
      </c>
      <c r="D432" s="258" t="s">
        <v>442</v>
      </c>
      <c r="E432" s="268">
        <v>70000</v>
      </c>
      <c r="F432" s="259">
        <v>120.76336246605688</v>
      </c>
      <c r="G432" s="260">
        <v>579.64599999999996</v>
      </c>
      <c r="H432" s="261" t="s">
        <v>175</v>
      </c>
      <c r="I432" s="261" t="s">
        <v>990</v>
      </c>
      <c r="J432" s="261" t="s">
        <v>98</v>
      </c>
      <c r="K432" s="261" t="s">
        <v>1132</v>
      </c>
      <c r="L432" s="261" t="s">
        <v>155</v>
      </c>
      <c r="M432" s="257"/>
      <c r="N432" s="257"/>
      <c r="O432" s="257"/>
    </row>
    <row r="433" spans="1:15" hidden="1">
      <c r="A433" s="267">
        <v>45727</v>
      </c>
      <c r="B433" s="257" t="s">
        <v>3210</v>
      </c>
      <c r="C433" s="263" t="s">
        <v>174</v>
      </c>
      <c r="D433" s="258" t="s">
        <v>442</v>
      </c>
      <c r="E433" s="268">
        <v>6000</v>
      </c>
      <c r="F433" s="259">
        <v>10.351145354233447</v>
      </c>
      <c r="G433" s="260">
        <v>579.64599999999996</v>
      </c>
      <c r="H433" s="261" t="s">
        <v>175</v>
      </c>
      <c r="I433" s="261" t="s">
        <v>991</v>
      </c>
      <c r="J433" s="261" t="s">
        <v>98</v>
      </c>
      <c r="K433" s="261" t="s">
        <v>1132</v>
      </c>
      <c r="L433" s="261" t="s">
        <v>155</v>
      </c>
      <c r="M433" s="257"/>
      <c r="N433" s="257"/>
      <c r="O433" s="257"/>
    </row>
    <row r="434" spans="1:15" hidden="1">
      <c r="A434" s="267">
        <v>45727</v>
      </c>
      <c r="B434" s="257" t="s">
        <v>3205</v>
      </c>
      <c r="C434" s="263" t="s">
        <v>177</v>
      </c>
      <c r="D434" s="258" t="s">
        <v>442</v>
      </c>
      <c r="E434" s="268">
        <v>70000</v>
      </c>
      <c r="F434" s="259">
        <v>120.76336246605688</v>
      </c>
      <c r="G434" s="260">
        <v>579.64599999999996</v>
      </c>
      <c r="H434" s="261" t="s">
        <v>317</v>
      </c>
      <c r="I434" s="261" t="s">
        <v>1017</v>
      </c>
      <c r="J434" s="261" t="s">
        <v>98</v>
      </c>
      <c r="K434" s="261" t="s">
        <v>1132</v>
      </c>
      <c r="L434" s="261" t="s">
        <v>155</v>
      </c>
      <c r="M434" s="257"/>
      <c r="N434" s="257"/>
      <c r="O434" s="257"/>
    </row>
    <row r="435" spans="1:15" hidden="1">
      <c r="A435" s="267">
        <v>45727</v>
      </c>
      <c r="B435" s="257" t="s">
        <v>3066</v>
      </c>
      <c r="C435" s="263" t="s">
        <v>174</v>
      </c>
      <c r="D435" s="258" t="s">
        <v>442</v>
      </c>
      <c r="E435" s="268">
        <v>12000</v>
      </c>
      <c r="F435" s="259">
        <v>20.702290708466894</v>
      </c>
      <c r="G435" s="260">
        <v>579.64599999999996</v>
      </c>
      <c r="H435" s="261" t="s">
        <v>317</v>
      </c>
      <c r="I435" s="261" t="s">
        <v>1018</v>
      </c>
      <c r="J435" s="261" t="s">
        <v>98</v>
      </c>
      <c r="K435" s="261" t="s">
        <v>1132</v>
      </c>
      <c r="L435" s="261" t="s">
        <v>155</v>
      </c>
      <c r="M435" s="257"/>
      <c r="N435" s="257"/>
      <c r="O435" s="257"/>
    </row>
    <row r="436" spans="1:15" hidden="1">
      <c r="A436" s="267">
        <v>45727</v>
      </c>
      <c r="B436" s="257" t="s">
        <v>800</v>
      </c>
      <c r="C436" s="263" t="s">
        <v>126</v>
      </c>
      <c r="D436" s="257" t="s">
        <v>118</v>
      </c>
      <c r="E436" s="268">
        <v>72102</v>
      </c>
      <c r="F436" s="259">
        <v>124.38971372182333</v>
      </c>
      <c r="G436" s="260">
        <v>579.64599999999996</v>
      </c>
      <c r="H436" s="261" t="s">
        <v>193</v>
      </c>
      <c r="I436" s="261" t="s">
        <v>845</v>
      </c>
      <c r="J436" s="261" t="s">
        <v>98</v>
      </c>
      <c r="K436" s="261" t="s">
        <v>1132</v>
      </c>
      <c r="L436" s="261" t="s">
        <v>155</v>
      </c>
      <c r="M436" s="257"/>
      <c r="N436" s="257"/>
      <c r="O436" s="257"/>
    </row>
    <row r="437" spans="1:15" hidden="1">
      <c r="A437" s="291">
        <v>45727</v>
      </c>
      <c r="B437" s="257" t="s">
        <v>912</v>
      </c>
      <c r="C437" s="257" t="s">
        <v>125</v>
      </c>
      <c r="D437" s="257"/>
      <c r="E437" s="292">
        <v>2107400</v>
      </c>
      <c r="F437" s="293">
        <f t="shared" ref="F437" si="1">+E437/G437</f>
        <v>3635.6672865852611</v>
      </c>
      <c r="G437" s="257">
        <v>579.64599999999996</v>
      </c>
      <c r="H437" s="257" t="s">
        <v>148</v>
      </c>
      <c r="I437" s="257" t="s">
        <v>934</v>
      </c>
      <c r="J437" s="257" t="s">
        <v>98</v>
      </c>
      <c r="K437" s="257" t="s">
        <v>1131</v>
      </c>
      <c r="L437" s="257" t="s">
        <v>155</v>
      </c>
      <c r="M437" s="290"/>
      <c r="N437" s="257"/>
      <c r="O437" s="257"/>
    </row>
    <row r="438" spans="1:15" hidden="1">
      <c r="A438" s="267">
        <v>45727</v>
      </c>
      <c r="B438" s="257" t="s">
        <v>913</v>
      </c>
      <c r="C438" s="257" t="s">
        <v>128</v>
      </c>
      <c r="D438" s="257" t="s">
        <v>118</v>
      </c>
      <c r="E438" s="268">
        <v>24268</v>
      </c>
      <c r="F438" s="259">
        <v>41.866932576089546</v>
      </c>
      <c r="G438" s="260">
        <v>579.64599999999996</v>
      </c>
      <c r="H438" s="261" t="s">
        <v>148</v>
      </c>
      <c r="I438" s="261" t="s">
        <v>952</v>
      </c>
      <c r="J438" s="261" t="s">
        <v>98</v>
      </c>
      <c r="K438" s="261" t="s">
        <v>1132</v>
      </c>
      <c r="L438" s="261" t="s">
        <v>155</v>
      </c>
      <c r="M438" s="257"/>
      <c r="N438" s="257"/>
      <c r="O438" s="257"/>
    </row>
    <row r="439" spans="1:15" hidden="1">
      <c r="A439" s="267">
        <v>45727</v>
      </c>
      <c r="B439" s="257" t="s">
        <v>914</v>
      </c>
      <c r="C439" s="257" t="s">
        <v>127</v>
      </c>
      <c r="D439" s="257" t="s">
        <v>118</v>
      </c>
      <c r="E439" s="268">
        <v>398693</v>
      </c>
      <c r="F439" s="259">
        <v>687.82153245256598</v>
      </c>
      <c r="G439" s="269">
        <v>579.64599999999996</v>
      </c>
      <c r="H439" s="261" t="s">
        <v>148</v>
      </c>
      <c r="I439" s="261" t="s">
        <v>953</v>
      </c>
      <c r="J439" s="261" t="s">
        <v>98</v>
      </c>
      <c r="K439" s="265" t="s">
        <v>202</v>
      </c>
      <c r="L439" s="261" t="s">
        <v>155</v>
      </c>
      <c r="M439" s="257"/>
      <c r="N439" s="257"/>
      <c r="O439" s="257"/>
    </row>
    <row r="440" spans="1:15" hidden="1">
      <c r="A440" s="267">
        <v>45727</v>
      </c>
      <c r="B440" s="257" t="s">
        <v>915</v>
      </c>
      <c r="C440" s="257" t="s">
        <v>128</v>
      </c>
      <c r="D440" s="257" t="s">
        <v>118</v>
      </c>
      <c r="E440" s="268">
        <v>18255</v>
      </c>
      <c r="F440" s="259">
        <v>31.493359740255261</v>
      </c>
      <c r="G440" s="260">
        <v>579.64599999999996</v>
      </c>
      <c r="H440" s="261" t="s">
        <v>148</v>
      </c>
      <c r="I440" s="261" t="s">
        <v>954</v>
      </c>
      <c r="J440" s="261" t="s">
        <v>98</v>
      </c>
      <c r="K440" s="261" t="s">
        <v>1132</v>
      </c>
      <c r="L440" s="261" t="s">
        <v>155</v>
      </c>
      <c r="M440" s="257"/>
      <c r="N440" s="257"/>
      <c r="O440" s="257"/>
    </row>
    <row r="441" spans="1:15" hidden="1">
      <c r="A441" s="267">
        <v>45728</v>
      </c>
      <c r="B441" s="257" t="s">
        <v>1162</v>
      </c>
      <c r="C441" s="263" t="s">
        <v>1163</v>
      </c>
      <c r="D441" s="257" t="s">
        <v>118</v>
      </c>
      <c r="E441" s="268">
        <v>56550</v>
      </c>
      <c r="F441" s="259">
        <v>97.559544963650239</v>
      </c>
      <c r="G441" s="260">
        <v>579.64599999999996</v>
      </c>
      <c r="H441" s="261" t="s">
        <v>583</v>
      </c>
      <c r="I441" s="261" t="s">
        <v>848</v>
      </c>
      <c r="J441" s="261" t="s">
        <v>98</v>
      </c>
      <c r="K441" s="261" t="s">
        <v>1132</v>
      </c>
      <c r="L441" s="261" t="s">
        <v>155</v>
      </c>
      <c r="M441" s="257"/>
      <c r="N441" s="257"/>
      <c r="O441" s="257"/>
    </row>
    <row r="442" spans="1:15" hidden="1">
      <c r="A442" s="267">
        <v>45728</v>
      </c>
      <c r="B442" s="257" t="s">
        <v>802</v>
      </c>
      <c r="C442" s="257" t="s">
        <v>152</v>
      </c>
      <c r="D442" s="258" t="s">
        <v>117</v>
      </c>
      <c r="E442" s="268">
        <v>15000</v>
      </c>
      <c r="F442" s="259">
        <v>25.877863385583616</v>
      </c>
      <c r="G442" s="260">
        <v>579.64599999999996</v>
      </c>
      <c r="H442" s="261" t="s">
        <v>583</v>
      </c>
      <c r="I442" s="261" t="s">
        <v>849</v>
      </c>
      <c r="J442" s="261" t="s">
        <v>98</v>
      </c>
      <c r="K442" s="261" t="s">
        <v>1132</v>
      </c>
      <c r="L442" s="261" t="s">
        <v>155</v>
      </c>
      <c r="M442" s="257"/>
      <c r="N442" s="257"/>
      <c r="O442" s="257"/>
    </row>
    <row r="443" spans="1:15" hidden="1">
      <c r="A443" s="267">
        <v>45728</v>
      </c>
      <c r="B443" s="257" t="s">
        <v>3082</v>
      </c>
      <c r="C443" s="263" t="s">
        <v>177</v>
      </c>
      <c r="D443" s="258" t="s">
        <v>442</v>
      </c>
      <c r="E443" s="268">
        <v>15000</v>
      </c>
      <c r="F443" s="259">
        <v>25.877863385583616</v>
      </c>
      <c r="G443" s="260">
        <v>579.64599999999996</v>
      </c>
      <c r="H443" s="261" t="s">
        <v>175</v>
      </c>
      <c r="I443" s="261" t="s">
        <v>992</v>
      </c>
      <c r="J443" s="261" t="s">
        <v>98</v>
      </c>
      <c r="K443" s="261" t="s">
        <v>1132</v>
      </c>
      <c r="L443" s="261" t="s">
        <v>155</v>
      </c>
      <c r="M443" s="257"/>
      <c r="N443" s="257"/>
      <c r="O443" s="257"/>
    </row>
    <row r="444" spans="1:15" hidden="1">
      <c r="A444" s="267">
        <v>45728</v>
      </c>
      <c r="B444" s="257" t="s">
        <v>3210</v>
      </c>
      <c r="C444" s="263" t="s">
        <v>174</v>
      </c>
      <c r="D444" s="258" t="s">
        <v>442</v>
      </c>
      <c r="E444" s="268">
        <v>4000</v>
      </c>
      <c r="F444" s="259">
        <v>6.9007635694889649</v>
      </c>
      <c r="G444" s="260">
        <v>579.64599999999996</v>
      </c>
      <c r="H444" s="261" t="s">
        <v>175</v>
      </c>
      <c r="I444" s="261" t="s">
        <v>993</v>
      </c>
      <c r="J444" s="261" t="s">
        <v>98</v>
      </c>
      <c r="K444" s="261" t="s">
        <v>1132</v>
      </c>
      <c r="L444" s="261" t="s">
        <v>155</v>
      </c>
      <c r="M444" s="257"/>
      <c r="N444" s="257"/>
      <c r="O444" s="257"/>
    </row>
    <row r="445" spans="1:15" hidden="1">
      <c r="A445" s="267">
        <v>45728</v>
      </c>
      <c r="B445" s="257" t="s">
        <v>1146</v>
      </c>
      <c r="C445" s="263" t="s">
        <v>1163</v>
      </c>
      <c r="D445" s="257" t="s">
        <v>118</v>
      </c>
      <c r="E445" s="268">
        <v>25000</v>
      </c>
      <c r="F445" s="259">
        <v>43.129772309306027</v>
      </c>
      <c r="G445" s="260">
        <v>579.64599999999996</v>
      </c>
      <c r="H445" s="261" t="s">
        <v>193</v>
      </c>
      <c r="I445" s="261" t="s">
        <v>847</v>
      </c>
      <c r="J445" s="261" t="s">
        <v>98</v>
      </c>
      <c r="K445" s="261" t="s">
        <v>1132</v>
      </c>
      <c r="L445" s="261" t="s">
        <v>155</v>
      </c>
      <c r="M445" s="257"/>
      <c r="N445" s="257"/>
      <c r="O445" s="257"/>
    </row>
    <row r="446" spans="1:15" hidden="1">
      <c r="A446" s="267">
        <v>45729</v>
      </c>
      <c r="B446" s="257" t="s">
        <v>554</v>
      </c>
      <c r="C446" s="264" t="s">
        <v>2086</v>
      </c>
      <c r="D446" s="257" t="s">
        <v>118</v>
      </c>
      <c r="E446" s="268">
        <v>1740</v>
      </c>
      <c r="F446" s="259">
        <v>3.0018321527276997</v>
      </c>
      <c r="G446" s="260">
        <v>579.64599999999996</v>
      </c>
      <c r="H446" s="261" t="s">
        <v>193</v>
      </c>
      <c r="I446" s="261" t="s">
        <v>850</v>
      </c>
      <c r="J446" s="261" t="s">
        <v>98</v>
      </c>
      <c r="K446" s="261" t="s">
        <v>1132</v>
      </c>
      <c r="L446" s="261" t="s">
        <v>155</v>
      </c>
      <c r="M446" s="257"/>
      <c r="N446" s="257"/>
      <c r="O446" s="257"/>
    </row>
    <row r="447" spans="1:15" hidden="1">
      <c r="A447" s="267">
        <v>45730</v>
      </c>
      <c r="B447" s="257" t="s">
        <v>2992</v>
      </c>
      <c r="C447" s="263" t="s">
        <v>177</v>
      </c>
      <c r="D447" s="258" t="s">
        <v>442</v>
      </c>
      <c r="E447" s="268">
        <v>30000</v>
      </c>
      <c r="F447" s="259">
        <v>51.755726771167232</v>
      </c>
      <c r="G447" s="260">
        <v>579.64599999999996</v>
      </c>
      <c r="H447" s="261" t="s">
        <v>175</v>
      </c>
      <c r="I447" s="261" t="s">
        <v>994</v>
      </c>
      <c r="J447" s="261" t="s">
        <v>98</v>
      </c>
      <c r="K447" s="261" t="s">
        <v>1132</v>
      </c>
      <c r="L447" s="261" t="s">
        <v>155</v>
      </c>
      <c r="M447" s="257"/>
      <c r="N447" s="257"/>
      <c r="O447" s="257"/>
    </row>
    <row r="448" spans="1:15" hidden="1">
      <c r="A448" s="267">
        <v>45730</v>
      </c>
      <c r="B448" s="257" t="s">
        <v>3210</v>
      </c>
      <c r="C448" s="263" t="s">
        <v>174</v>
      </c>
      <c r="D448" s="258" t="s">
        <v>442</v>
      </c>
      <c r="E448" s="268">
        <v>4000</v>
      </c>
      <c r="F448" s="259">
        <v>6.9007635694889649</v>
      </c>
      <c r="G448" s="260">
        <v>579.64599999999996</v>
      </c>
      <c r="H448" s="261" t="s">
        <v>175</v>
      </c>
      <c r="I448" s="261" t="s">
        <v>995</v>
      </c>
      <c r="J448" s="261" t="s">
        <v>98</v>
      </c>
      <c r="K448" s="261" t="s">
        <v>1132</v>
      </c>
      <c r="L448" s="261" t="s">
        <v>155</v>
      </c>
      <c r="M448" s="257"/>
      <c r="N448" s="257"/>
      <c r="O448" s="257"/>
    </row>
    <row r="449" spans="1:15" hidden="1">
      <c r="A449" s="267">
        <v>45730</v>
      </c>
      <c r="B449" s="257" t="s">
        <v>916</v>
      </c>
      <c r="C449" s="257" t="s">
        <v>123</v>
      </c>
      <c r="D449" s="258" t="s">
        <v>117</v>
      </c>
      <c r="E449" s="268">
        <v>300000</v>
      </c>
      <c r="F449" s="259">
        <v>517.55726771167235</v>
      </c>
      <c r="G449" s="269">
        <v>579.64599999999996</v>
      </c>
      <c r="H449" s="261" t="s">
        <v>148</v>
      </c>
      <c r="I449" s="261" t="s">
        <v>955</v>
      </c>
      <c r="J449" s="261" t="s">
        <v>98</v>
      </c>
      <c r="K449" s="265" t="s">
        <v>202</v>
      </c>
      <c r="L449" s="261" t="s">
        <v>155</v>
      </c>
      <c r="M449" s="257"/>
      <c r="N449" s="257"/>
      <c r="O449" s="257"/>
    </row>
    <row r="450" spans="1:15" hidden="1">
      <c r="A450" s="267">
        <v>45730</v>
      </c>
      <c r="B450" s="257" t="s">
        <v>917</v>
      </c>
      <c r="C450" s="257" t="s">
        <v>123</v>
      </c>
      <c r="D450" s="258" t="s">
        <v>117</v>
      </c>
      <c r="E450" s="268">
        <v>200000</v>
      </c>
      <c r="F450" s="259">
        <v>345.03817847444822</v>
      </c>
      <c r="G450" s="269">
        <v>579.64599999999996</v>
      </c>
      <c r="H450" s="261" t="s">
        <v>148</v>
      </c>
      <c r="I450" s="261" t="s">
        <v>956</v>
      </c>
      <c r="J450" s="261" t="s">
        <v>98</v>
      </c>
      <c r="K450" s="265" t="s">
        <v>202</v>
      </c>
      <c r="L450" s="261" t="s">
        <v>155</v>
      </c>
      <c r="M450" s="257"/>
      <c r="N450" s="257"/>
      <c r="O450" s="257"/>
    </row>
    <row r="451" spans="1:15" hidden="1">
      <c r="A451" s="267">
        <v>45731</v>
      </c>
      <c r="B451" s="257" t="s">
        <v>2992</v>
      </c>
      <c r="C451" s="263" t="s">
        <v>177</v>
      </c>
      <c r="D451" s="258" t="s">
        <v>442</v>
      </c>
      <c r="E451" s="268">
        <v>15000</v>
      </c>
      <c r="F451" s="259">
        <v>25.877863385583616</v>
      </c>
      <c r="G451" s="260">
        <v>579.64599999999996</v>
      </c>
      <c r="H451" s="261" t="s">
        <v>175</v>
      </c>
      <c r="I451" s="261" t="s">
        <v>996</v>
      </c>
      <c r="J451" s="261" t="s">
        <v>98</v>
      </c>
      <c r="K451" s="261" t="s">
        <v>1132</v>
      </c>
      <c r="L451" s="261" t="s">
        <v>155</v>
      </c>
      <c r="M451" s="257"/>
      <c r="N451" s="257"/>
      <c r="O451" s="257"/>
    </row>
    <row r="452" spans="1:15" hidden="1">
      <c r="A452" s="267">
        <v>45731</v>
      </c>
      <c r="B452" s="257" t="s">
        <v>3168</v>
      </c>
      <c r="C452" s="263" t="s">
        <v>174</v>
      </c>
      <c r="D452" s="258" t="s">
        <v>442</v>
      </c>
      <c r="E452" s="268">
        <v>4000</v>
      </c>
      <c r="F452" s="259">
        <v>6.9007635694889649</v>
      </c>
      <c r="G452" s="260">
        <v>579.64599999999996</v>
      </c>
      <c r="H452" s="261" t="s">
        <v>175</v>
      </c>
      <c r="I452" s="261" t="s">
        <v>997</v>
      </c>
      <c r="J452" s="261" t="s">
        <v>98</v>
      </c>
      <c r="K452" s="261" t="s">
        <v>1132</v>
      </c>
      <c r="L452" s="261" t="s">
        <v>155</v>
      </c>
      <c r="M452" s="257"/>
      <c r="N452" s="257"/>
      <c r="O452" s="257"/>
    </row>
    <row r="453" spans="1:15" hidden="1">
      <c r="A453" s="267">
        <v>45732</v>
      </c>
      <c r="B453" s="257" t="s">
        <v>1112</v>
      </c>
      <c r="C453" s="263" t="s">
        <v>174</v>
      </c>
      <c r="D453" s="258" t="s">
        <v>117</v>
      </c>
      <c r="E453" s="268">
        <v>10000</v>
      </c>
      <c r="F453" s="259">
        <v>17.251908923722411</v>
      </c>
      <c r="G453" s="260">
        <v>579.64599999999996</v>
      </c>
      <c r="H453" s="261" t="s">
        <v>200</v>
      </c>
      <c r="I453" s="261" t="s">
        <v>1136</v>
      </c>
      <c r="J453" s="261" t="s">
        <v>98</v>
      </c>
      <c r="K453" s="261" t="s">
        <v>1132</v>
      </c>
      <c r="L453" s="261" t="s">
        <v>155</v>
      </c>
      <c r="M453" s="257"/>
      <c r="N453" s="257"/>
      <c r="O453" s="257"/>
    </row>
    <row r="454" spans="1:15" hidden="1">
      <c r="A454" s="267">
        <v>45732</v>
      </c>
      <c r="B454" s="257" t="s">
        <v>3211</v>
      </c>
      <c r="C454" s="263" t="s">
        <v>177</v>
      </c>
      <c r="D454" s="258" t="s">
        <v>442</v>
      </c>
      <c r="E454" s="268">
        <v>75000</v>
      </c>
      <c r="F454" s="259">
        <v>129.38931692791809</v>
      </c>
      <c r="G454" s="260">
        <v>579.64599999999996</v>
      </c>
      <c r="H454" s="261" t="s">
        <v>317</v>
      </c>
      <c r="I454" s="261" t="s">
        <v>1019</v>
      </c>
      <c r="J454" s="261" t="s">
        <v>98</v>
      </c>
      <c r="K454" s="261" t="s">
        <v>1132</v>
      </c>
      <c r="L454" s="261" t="s">
        <v>155</v>
      </c>
      <c r="M454" s="257"/>
      <c r="N454" s="257"/>
      <c r="O454" s="257"/>
    </row>
    <row r="455" spans="1:15" hidden="1">
      <c r="A455" s="267">
        <v>45732</v>
      </c>
      <c r="B455" s="257" t="s">
        <v>3066</v>
      </c>
      <c r="C455" s="263" t="s">
        <v>174</v>
      </c>
      <c r="D455" s="258" t="s">
        <v>442</v>
      </c>
      <c r="E455" s="268">
        <v>7000</v>
      </c>
      <c r="F455" s="259">
        <v>12.076336246605688</v>
      </c>
      <c r="G455" s="260">
        <v>579.64599999999996</v>
      </c>
      <c r="H455" s="261" t="s">
        <v>317</v>
      </c>
      <c r="I455" s="261" t="s">
        <v>1020</v>
      </c>
      <c r="J455" s="261" t="s">
        <v>98</v>
      </c>
      <c r="K455" s="261" t="s">
        <v>1132</v>
      </c>
      <c r="L455" s="261" t="s">
        <v>155</v>
      </c>
      <c r="M455" s="257"/>
      <c r="N455" s="257"/>
      <c r="O455" s="257"/>
    </row>
    <row r="456" spans="1:15" hidden="1">
      <c r="A456" s="267">
        <v>45732</v>
      </c>
      <c r="B456" s="257" t="s">
        <v>1044</v>
      </c>
      <c r="C456" s="263" t="s">
        <v>174</v>
      </c>
      <c r="D456" s="258" t="s">
        <v>117</v>
      </c>
      <c r="E456" s="268">
        <v>10000</v>
      </c>
      <c r="F456" s="259">
        <v>17.251908923722411</v>
      </c>
      <c r="G456" s="260">
        <v>579.64599999999996</v>
      </c>
      <c r="H456" s="261" t="s">
        <v>187</v>
      </c>
      <c r="I456" s="261" t="s">
        <v>1045</v>
      </c>
      <c r="J456" s="261" t="s">
        <v>98</v>
      </c>
      <c r="K456" s="261" t="s">
        <v>1132</v>
      </c>
      <c r="L456" s="261" t="s">
        <v>155</v>
      </c>
      <c r="M456" s="257"/>
      <c r="N456" s="257"/>
      <c r="O456" s="257"/>
    </row>
    <row r="457" spans="1:15" hidden="1">
      <c r="A457" s="267">
        <v>45732</v>
      </c>
      <c r="B457" s="257" t="s">
        <v>1152</v>
      </c>
      <c r="C457" s="263" t="s">
        <v>174</v>
      </c>
      <c r="D457" s="258" t="s">
        <v>117</v>
      </c>
      <c r="E457" s="268">
        <v>10000</v>
      </c>
      <c r="F457" s="259">
        <v>17.251908923722411</v>
      </c>
      <c r="G457" s="260">
        <v>579.64599999999996</v>
      </c>
      <c r="H457" s="261" t="s">
        <v>190</v>
      </c>
      <c r="I457" s="261" t="s">
        <v>1065</v>
      </c>
      <c r="J457" s="261" t="s">
        <v>98</v>
      </c>
      <c r="K457" s="261" t="s">
        <v>1132</v>
      </c>
      <c r="L457" s="261" t="s">
        <v>155</v>
      </c>
      <c r="M457" s="257"/>
      <c r="N457" s="257"/>
      <c r="O457" s="257"/>
    </row>
    <row r="458" spans="1:15" hidden="1">
      <c r="A458" s="267">
        <v>45732</v>
      </c>
      <c r="B458" s="257" t="s">
        <v>1085</v>
      </c>
      <c r="C458" s="263" t="s">
        <v>174</v>
      </c>
      <c r="D458" s="258" t="s">
        <v>117</v>
      </c>
      <c r="E458" s="268">
        <v>10000</v>
      </c>
      <c r="F458" s="259">
        <v>17.251908923722411</v>
      </c>
      <c r="G458" s="260">
        <v>579.64599999999996</v>
      </c>
      <c r="H458" s="261" t="s">
        <v>437</v>
      </c>
      <c r="I458" s="261" t="s">
        <v>1086</v>
      </c>
      <c r="J458" s="261" t="s">
        <v>98</v>
      </c>
      <c r="K458" s="261" t="s">
        <v>1132</v>
      </c>
      <c r="L458" s="261" t="s">
        <v>155</v>
      </c>
      <c r="M458" s="257"/>
      <c r="N458" s="257"/>
      <c r="O458" s="257"/>
    </row>
    <row r="459" spans="1:15" hidden="1">
      <c r="A459" s="267">
        <v>45732</v>
      </c>
      <c r="B459" s="257" t="s">
        <v>1153</v>
      </c>
      <c r="C459" s="263" t="s">
        <v>174</v>
      </c>
      <c r="D459" s="257" t="s">
        <v>2087</v>
      </c>
      <c r="E459" s="268">
        <v>10000</v>
      </c>
      <c r="F459" s="259">
        <v>17.251908923722411</v>
      </c>
      <c r="G459" s="260">
        <v>579.64599999999996</v>
      </c>
      <c r="H459" s="261" t="s">
        <v>213</v>
      </c>
      <c r="I459" s="261" t="s">
        <v>1098</v>
      </c>
      <c r="J459" s="261" t="s">
        <v>98</v>
      </c>
      <c r="K459" s="261" t="s">
        <v>1132</v>
      </c>
      <c r="L459" s="261" t="s">
        <v>155</v>
      </c>
      <c r="M459" s="257"/>
      <c r="N459" s="257"/>
      <c r="O459" s="257"/>
    </row>
    <row r="460" spans="1:15" hidden="1">
      <c r="A460" s="267">
        <v>45733</v>
      </c>
      <c r="B460" s="257" t="s">
        <v>1113</v>
      </c>
      <c r="C460" s="263" t="s">
        <v>177</v>
      </c>
      <c r="D460" s="257" t="s">
        <v>2087</v>
      </c>
      <c r="E460" s="268">
        <v>190000</v>
      </c>
      <c r="F460" s="259">
        <v>327.78626955072582</v>
      </c>
      <c r="G460" s="269">
        <v>579.64599999999996</v>
      </c>
      <c r="H460" s="261" t="s">
        <v>200</v>
      </c>
      <c r="I460" s="261" t="s">
        <v>1114</v>
      </c>
      <c r="J460" s="261" t="s">
        <v>98</v>
      </c>
      <c r="K460" s="265" t="s">
        <v>202</v>
      </c>
      <c r="L460" s="261" t="s">
        <v>155</v>
      </c>
      <c r="M460" s="257"/>
      <c r="N460" s="257"/>
      <c r="O460" s="257"/>
    </row>
    <row r="461" spans="1:15" hidden="1">
      <c r="A461" s="267">
        <v>45733</v>
      </c>
      <c r="B461" s="257" t="s">
        <v>803</v>
      </c>
      <c r="C461" s="264" t="s">
        <v>2086</v>
      </c>
      <c r="D461" s="257" t="s">
        <v>118</v>
      </c>
      <c r="E461" s="268">
        <v>12690</v>
      </c>
      <c r="F461" s="259">
        <v>21.892672424203738</v>
      </c>
      <c r="G461" s="260">
        <v>579.64599999999996</v>
      </c>
      <c r="H461" s="261" t="s">
        <v>583</v>
      </c>
      <c r="I461" s="261" t="s">
        <v>851</v>
      </c>
      <c r="J461" s="261" t="s">
        <v>98</v>
      </c>
      <c r="K461" s="261" t="s">
        <v>1132</v>
      </c>
      <c r="L461" s="261" t="s">
        <v>155</v>
      </c>
      <c r="M461" s="257"/>
      <c r="N461" s="257"/>
      <c r="O461" s="257"/>
    </row>
    <row r="462" spans="1:15" hidden="1">
      <c r="A462" s="267">
        <v>45733</v>
      </c>
      <c r="B462" s="257" t="s">
        <v>804</v>
      </c>
      <c r="C462" s="257" t="s">
        <v>152</v>
      </c>
      <c r="D462" s="257" t="s">
        <v>119</v>
      </c>
      <c r="E462" s="268">
        <v>20000</v>
      </c>
      <c r="F462" s="259">
        <v>34.503817847444822</v>
      </c>
      <c r="G462" s="260">
        <v>579.64599999999996</v>
      </c>
      <c r="H462" s="261" t="s">
        <v>583</v>
      </c>
      <c r="I462" s="261" t="s">
        <v>852</v>
      </c>
      <c r="J462" s="261" t="s">
        <v>98</v>
      </c>
      <c r="K462" s="261" t="s">
        <v>1132</v>
      </c>
      <c r="L462" s="261" t="s">
        <v>155</v>
      </c>
      <c r="M462" s="257"/>
      <c r="N462" s="257"/>
      <c r="O462" s="257"/>
    </row>
    <row r="463" spans="1:15" hidden="1">
      <c r="A463" s="267">
        <v>45733</v>
      </c>
      <c r="B463" s="257" t="s">
        <v>805</v>
      </c>
      <c r="C463" s="257" t="s">
        <v>152</v>
      </c>
      <c r="D463" s="258" t="s">
        <v>117</v>
      </c>
      <c r="E463" s="268">
        <v>30000</v>
      </c>
      <c r="F463" s="259">
        <v>51.755726771167232</v>
      </c>
      <c r="G463" s="260">
        <v>579.64599999999996</v>
      </c>
      <c r="H463" s="261" t="s">
        <v>583</v>
      </c>
      <c r="I463" s="261" t="s">
        <v>853</v>
      </c>
      <c r="J463" s="261" t="s">
        <v>98</v>
      </c>
      <c r="K463" s="261" t="s">
        <v>1132</v>
      </c>
      <c r="L463" s="261" t="s">
        <v>155</v>
      </c>
      <c r="M463" s="257"/>
      <c r="N463" s="257"/>
      <c r="O463" s="257"/>
    </row>
    <row r="464" spans="1:15" hidden="1">
      <c r="A464" s="267">
        <v>45733</v>
      </c>
      <c r="B464" s="257" t="s">
        <v>806</v>
      </c>
      <c r="C464" s="257" t="s">
        <v>152</v>
      </c>
      <c r="D464" s="258" t="s">
        <v>442</v>
      </c>
      <c r="E464" s="268">
        <v>55000</v>
      </c>
      <c r="F464" s="259">
        <v>94.885499080473267</v>
      </c>
      <c r="G464" s="260">
        <v>579.64599999999996</v>
      </c>
      <c r="H464" s="261" t="s">
        <v>583</v>
      </c>
      <c r="I464" s="261" t="s">
        <v>854</v>
      </c>
      <c r="J464" s="261" t="s">
        <v>98</v>
      </c>
      <c r="K464" s="261" t="s">
        <v>1132</v>
      </c>
      <c r="L464" s="261" t="s">
        <v>155</v>
      </c>
      <c r="M464" s="257"/>
      <c r="N464" s="257"/>
      <c r="O464" s="257"/>
    </row>
    <row r="465" spans="1:15" hidden="1">
      <c r="A465" s="267">
        <v>45733</v>
      </c>
      <c r="B465" s="257" t="s">
        <v>807</v>
      </c>
      <c r="C465" s="257" t="s">
        <v>152</v>
      </c>
      <c r="D465" s="257" t="s">
        <v>120</v>
      </c>
      <c r="E465" s="268">
        <v>10000</v>
      </c>
      <c r="F465" s="259">
        <v>17.251908923722411</v>
      </c>
      <c r="G465" s="260">
        <v>579.64599999999996</v>
      </c>
      <c r="H465" s="261" t="s">
        <v>583</v>
      </c>
      <c r="I465" s="261" t="s">
        <v>855</v>
      </c>
      <c r="J465" s="261" t="s">
        <v>98</v>
      </c>
      <c r="K465" s="261" t="s">
        <v>1132</v>
      </c>
      <c r="L465" s="261" t="s">
        <v>155</v>
      </c>
      <c r="M465" s="257"/>
      <c r="N465" s="257"/>
      <c r="O465" s="257"/>
    </row>
    <row r="466" spans="1:15" hidden="1">
      <c r="A466" s="267">
        <v>45733</v>
      </c>
      <c r="B466" s="257" t="s">
        <v>808</v>
      </c>
      <c r="C466" s="257" t="s">
        <v>152</v>
      </c>
      <c r="D466" s="258" t="s">
        <v>117</v>
      </c>
      <c r="E466" s="268">
        <v>10000</v>
      </c>
      <c r="F466" s="259">
        <v>17.251908923722411</v>
      </c>
      <c r="G466" s="260">
        <v>579.64599999999996</v>
      </c>
      <c r="H466" s="261" t="s">
        <v>583</v>
      </c>
      <c r="I466" s="261" t="s">
        <v>856</v>
      </c>
      <c r="J466" s="261" t="s">
        <v>98</v>
      </c>
      <c r="K466" s="261" t="s">
        <v>1132</v>
      </c>
      <c r="L466" s="261" t="s">
        <v>155</v>
      </c>
      <c r="M466" s="257"/>
      <c r="N466" s="257"/>
      <c r="O466" s="257"/>
    </row>
    <row r="467" spans="1:15" hidden="1">
      <c r="A467" s="267">
        <v>45733</v>
      </c>
      <c r="B467" s="257" t="s">
        <v>809</v>
      </c>
      <c r="C467" s="257" t="s">
        <v>152</v>
      </c>
      <c r="D467" s="258" t="s">
        <v>442</v>
      </c>
      <c r="E467" s="268">
        <v>5000</v>
      </c>
      <c r="F467" s="259">
        <v>8.6259544618612054</v>
      </c>
      <c r="G467" s="260">
        <v>579.64599999999996</v>
      </c>
      <c r="H467" s="261" t="s">
        <v>583</v>
      </c>
      <c r="I467" s="261" t="s">
        <v>857</v>
      </c>
      <c r="J467" s="261" t="s">
        <v>98</v>
      </c>
      <c r="K467" s="261" t="s">
        <v>1132</v>
      </c>
      <c r="L467" s="261" t="s">
        <v>155</v>
      </c>
      <c r="M467" s="257"/>
      <c r="N467" s="257"/>
      <c r="O467" s="257"/>
    </row>
    <row r="468" spans="1:15" hidden="1">
      <c r="A468" s="267">
        <v>45733</v>
      </c>
      <c r="B468" s="257" t="s">
        <v>1046</v>
      </c>
      <c r="C468" s="263" t="s">
        <v>177</v>
      </c>
      <c r="D468" s="258" t="s">
        <v>117</v>
      </c>
      <c r="E468" s="268">
        <v>120000</v>
      </c>
      <c r="F468" s="259">
        <v>207.02290708466893</v>
      </c>
      <c r="G468" s="260">
        <v>579.64599999999996</v>
      </c>
      <c r="H468" s="261" t="s">
        <v>187</v>
      </c>
      <c r="I468" s="261" t="s">
        <v>1047</v>
      </c>
      <c r="J468" s="261" t="s">
        <v>98</v>
      </c>
      <c r="K468" s="261" t="s">
        <v>1132</v>
      </c>
      <c r="L468" s="261" t="s">
        <v>155</v>
      </c>
      <c r="M468" s="257"/>
      <c r="N468" s="257"/>
      <c r="O468" s="257"/>
    </row>
    <row r="469" spans="1:15" hidden="1">
      <c r="A469" s="267">
        <v>45733</v>
      </c>
      <c r="B469" s="257" t="s">
        <v>1066</v>
      </c>
      <c r="C469" s="263" t="s">
        <v>177</v>
      </c>
      <c r="D469" s="257" t="s">
        <v>2087</v>
      </c>
      <c r="E469" s="268">
        <v>90000</v>
      </c>
      <c r="F469" s="259">
        <v>155.26718031350171</v>
      </c>
      <c r="G469" s="260">
        <v>579.64599999999996</v>
      </c>
      <c r="H469" s="261" t="s">
        <v>190</v>
      </c>
      <c r="I469" s="261" t="s">
        <v>1067</v>
      </c>
      <c r="J469" s="261" t="s">
        <v>98</v>
      </c>
      <c r="K469" s="261" t="s">
        <v>1132</v>
      </c>
      <c r="L469" s="261" t="s">
        <v>155</v>
      </c>
      <c r="M469" s="257"/>
      <c r="N469" s="257"/>
      <c r="O469" s="257"/>
    </row>
    <row r="470" spans="1:15" hidden="1">
      <c r="A470" s="267">
        <v>45733</v>
      </c>
      <c r="B470" s="257" t="s">
        <v>1087</v>
      </c>
      <c r="C470" s="263" t="s">
        <v>177</v>
      </c>
      <c r="D470" s="258" t="s">
        <v>117</v>
      </c>
      <c r="E470" s="268">
        <v>190000</v>
      </c>
      <c r="F470" s="259">
        <v>327.78626955072582</v>
      </c>
      <c r="G470" s="269">
        <v>579.64599999999996</v>
      </c>
      <c r="H470" s="261" t="s">
        <v>437</v>
      </c>
      <c r="I470" s="261" t="s">
        <v>1088</v>
      </c>
      <c r="J470" s="261" t="s">
        <v>98</v>
      </c>
      <c r="K470" s="265" t="s">
        <v>202</v>
      </c>
      <c r="L470" s="261" t="s">
        <v>155</v>
      </c>
      <c r="M470" s="257"/>
      <c r="N470" s="257"/>
      <c r="O470" s="257"/>
    </row>
    <row r="471" spans="1:15" hidden="1">
      <c r="A471" s="267">
        <v>45733</v>
      </c>
      <c r="B471" s="257" t="s">
        <v>1099</v>
      </c>
      <c r="C471" s="263" t="s">
        <v>177</v>
      </c>
      <c r="D471" s="257" t="s">
        <v>2087</v>
      </c>
      <c r="E471" s="268">
        <v>90000</v>
      </c>
      <c r="F471" s="259">
        <v>155.26718031350171</v>
      </c>
      <c r="G471" s="260">
        <v>579.64599999999996</v>
      </c>
      <c r="H471" s="261" t="s">
        <v>213</v>
      </c>
      <c r="I471" s="261" t="s">
        <v>1100</v>
      </c>
      <c r="J471" s="261" t="s">
        <v>98</v>
      </c>
      <c r="K471" s="261" t="s">
        <v>1132</v>
      </c>
      <c r="L471" s="261" t="s">
        <v>155</v>
      </c>
      <c r="M471" s="257"/>
      <c r="N471" s="257"/>
      <c r="O471" s="257"/>
    </row>
    <row r="472" spans="1:15" hidden="1">
      <c r="A472" s="267">
        <v>45734</v>
      </c>
      <c r="B472" s="257" t="s">
        <v>2992</v>
      </c>
      <c r="C472" s="263" t="s">
        <v>177</v>
      </c>
      <c r="D472" s="258" t="s">
        <v>442</v>
      </c>
      <c r="E472" s="268">
        <v>45000</v>
      </c>
      <c r="F472" s="259">
        <v>77.633590156750856</v>
      </c>
      <c r="G472" s="260">
        <v>579.64599999999996</v>
      </c>
      <c r="H472" s="261" t="s">
        <v>175</v>
      </c>
      <c r="I472" s="261" t="s">
        <v>998</v>
      </c>
      <c r="J472" s="261" t="s">
        <v>98</v>
      </c>
      <c r="K472" s="261" t="s">
        <v>1132</v>
      </c>
      <c r="L472" s="261" t="s">
        <v>155</v>
      </c>
      <c r="M472" s="257"/>
      <c r="N472" s="257"/>
      <c r="O472" s="257"/>
    </row>
    <row r="473" spans="1:15" hidden="1">
      <c r="A473" s="267">
        <v>45734</v>
      </c>
      <c r="B473" s="257" t="s">
        <v>3168</v>
      </c>
      <c r="C473" s="263" t="s">
        <v>174</v>
      </c>
      <c r="D473" s="258" t="s">
        <v>442</v>
      </c>
      <c r="E473" s="268">
        <v>6000</v>
      </c>
      <c r="F473" s="259">
        <v>10.351145354233447</v>
      </c>
      <c r="G473" s="260">
        <v>579.64599999999996</v>
      </c>
      <c r="H473" s="261" t="s">
        <v>175</v>
      </c>
      <c r="I473" s="261" t="s">
        <v>999</v>
      </c>
      <c r="J473" s="261" t="s">
        <v>98</v>
      </c>
      <c r="K473" s="261" t="s">
        <v>1132</v>
      </c>
      <c r="L473" s="261" t="s">
        <v>155</v>
      </c>
      <c r="M473" s="257"/>
      <c r="N473" s="257"/>
      <c r="O473" s="257"/>
    </row>
    <row r="474" spans="1:15" hidden="1">
      <c r="A474" s="267">
        <v>45734</v>
      </c>
      <c r="B474" s="257" t="s">
        <v>3211</v>
      </c>
      <c r="C474" s="263" t="s">
        <v>177</v>
      </c>
      <c r="D474" s="258" t="s">
        <v>442</v>
      </c>
      <c r="E474" s="268">
        <v>30000</v>
      </c>
      <c r="F474" s="259">
        <v>51.755726771167232</v>
      </c>
      <c r="G474" s="269">
        <v>579.64599999999996</v>
      </c>
      <c r="H474" s="261" t="s">
        <v>317</v>
      </c>
      <c r="I474" s="261" t="s">
        <v>1021</v>
      </c>
      <c r="J474" s="261" t="s">
        <v>98</v>
      </c>
      <c r="K474" s="265" t="s">
        <v>202</v>
      </c>
      <c r="L474" s="261" t="s">
        <v>155</v>
      </c>
      <c r="M474" s="257"/>
      <c r="N474" s="257"/>
      <c r="O474" s="257"/>
    </row>
    <row r="475" spans="1:15" hidden="1">
      <c r="A475" s="267">
        <v>45734</v>
      </c>
      <c r="B475" s="257" t="s">
        <v>3064</v>
      </c>
      <c r="C475" s="263" t="s">
        <v>174</v>
      </c>
      <c r="D475" s="258" t="s">
        <v>442</v>
      </c>
      <c r="E475" s="268">
        <v>7000</v>
      </c>
      <c r="F475" s="259">
        <v>12.076336246605688</v>
      </c>
      <c r="G475" s="269">
        <v>579.64599999999996</v>
      </c>
      <c r="H475" s="261" t="s">
        <v>317</v>
      </c>
      <c r="I475" s="261" t="s">
        <v>1022</v>
      </c>
      <c r="J475" s="261" t="s">
        <v>98</v>
      </c>
      <c r="K475" s="265" t="s">
        <v>202</v>
      </c>
      <c r="L475" s="261" t="s">
        <v>155</v>
      </c>
      <c r="M475" s="257"/>
      <c r="N475" s="257"/>
      <c r="O475" s="257"/>
    </row>
    <row r="476" spans="1:15" hidden="1">
      <c r="A476" s="267">
        <v>45734</v>
      </c>
      <c r="B476" s="257" t="s">
        <v>1077</v>
      </c>
      <c r="C476" s="263" t="s">
        <v>174</v>
      </c>
      <c r="D476" s="258" t="s">
        <v>117</v>
      </c>
      <c r="E476" s="268">
        <v>7000</v>
      </c>
      <c r="F476" s="259">
        <v>12.076336246605688</v>
      </c>
      <c r="G476" s="269">
        <v>579.64599999999996</v>
      </c>
      <c r="H476" s="261" t="s">
        <v>193</v>
      </c>
      <c r="I476" s="261" t="s">
        <v>1078</v>
      </c>
      <c r="J476" s="261" t="s">
        <v>98</v>
      </c>
      <c r="K476" s="265" t="s">
        <v>202</v>
      </c>
      <c r="L476" s="261" t="s">
        <v>155</v>
      </c>
      <c r="M476" s="257"/>
      <c r="N476" s="257"/>
      <c r="O476" s="257"/>
    </row>
    <row r="477" spans="1:15" hidden="1">
      <c r="A477" s="267">
        <v>45734</v>
      </c>
      <c r="B477" s="257" t="s">
        <v>1154</v>
      </c>
      <c r="C477" s="263" t="s">
        <v>174</v>
      </c>
      <c r="D477" s="258" t="s">
        <v>117</v>
      </c>
      <c r="E477" s="268">
        <v>21000</v>
      </c>
      <c r="F477" s="259">
        <v>36.229008739817061</v>
      </c>
      <c r="G477" s="269">
        <v>579.64599999999996</v>
      </c>
      <c r="H477" s="261" t="s">
        <v>193</v>
      </c>
      <c r="I477" s="261" t="s">
        <v>858</v>
      </c>
      <c r="J477" s="261" t="s">
        <v>98</v>
      </c>
      <c r="K477" s="265" t="s">
        <v>202</v>
      </c>
      <c r="L477" s="261" t="s">
        <v>155</v>
      </c>
      <c r="M477" s="257"/>
      <c r="N477" s="257"/>
      <c r="O477" s="257"/>
    </row>
    <row r="478" spans="1:15" hidden="1">
      <c r="A478" s="267">
        <v>45734</v>
      </c>
      <c r="B478" s="257" t="s">
        <v>1155</v>
      </c>
      <c r="C478" s="263" t="s">
        <v>177</v>
      </c>
      <c r="D478" s="258" t="s">
        <v>117</v>
      </c>
      <c r="E478" s="268">
        <v>75000</v>
      </c>
      <c r="F478" s="259">
        <v>129.38931692791809</v>
      </c>
      <c r="G478" s="269">
        <v>579.64599999999996</v>
      </c>
      <c r="H478" s="261" t="s">
        <v>193</v>
      </c>
      <c r="I478" s="261" t="s">
        <v>859</v>
      </c>
      <c r="J478" s="261" t="s">
        <v>98</v>
      </c>
      <c r="K478" s="265" t="s">
        <v>202</v>
      </c>
      <c r="L478" s="261" t="s">
        <v>155</v>
      </c>
      <c r="M478" s="257"/>
      <c r="N478" s="257"/>
      <c r="O478" s="257"/>
    </row>
    <row r="479" spans="1:15" hidden="1">
      <c r="A479" s="267">
        <v>45734</v>
      </c>
      <c r="B479" s="257" t="s">
        <v>810</v>
      </c>
      <c r="C479" s="263" t="s">
        <v>174</v>
      </c>
      <c r="D479" s="258" t="s">
        <v>117</v>
      </c>
      <c r="E479" s="268">
        <v>21000</v>
      </c>
      <c r="F479" s="259">
        <v>36.229008739817061</v>
      </c>
      <c r="G479" s="269">
        <v>579.64599999999996</v>
      </c>
      <c r="H479" s="261" t="s">
        <v>193</v>
      </c>
      <c r="I479" s="261" t="s">
        <v>860</v>
      </c>
      <c r="J479" s="261" t="s">
        <v>98</v>
      </c>
      <c r="K479" s="265" t="s">
        <v>202</v>
      </c>
      <c r="L479" s="261" t="s">
        <v>155</v>
      </c>
      <c r="M479" s="257"/>
      <c r="N479" s="257"/>
      <c r="O479" s="257"/>
    </row>
    <row r="480" spans="1:15" hidden="1">
      <c r="A480" s="267">
        <v>45734</v>
      </c>
      <c r="B480" s="257" t="s">
        <v>2092</v>
      </c>
      <c r="C480" s="263" t="s">
        <v>177</v>
      </c>
      <c r="D480" s="258" t="s">
        <v>117</v>
      </c>
      <c r="E480" s="268">
        <v>50000</v>
      </c>
      <c r="F480" s="259">
        <v>86.259544618612054</v>
      </c>
      <c r="G480" s="269">
        <v>579.64599999999996</v>
      </c>
      <c r="H480" s="261" t="s">
        <v>193</v>
      </c>
      <c r="I480" s="261" t="s">
        <v>861</v>
      </c>
      <c r="J480" s="261" t="s">
        <v>98</v>
      </c>
      <c r="K480" s="265" t="s">
        <v>202</v>
      </c>
      <c r="L480" s="261" t="s">
        <v>155</v>
      </c>
      <c r="M480" s="257"/>
      <c r="N480" s="257"/>
      <c r="O480" s="257"/>
    </row>
    <row r="481" spans="1:15" hidden="1">
      <c r="A481" s="267">
        <v>45735</v>
      </c>
      <c r="B481" s="257" t="s">
        <v>1115</v>
      </c>
      <c r="C481" s="263" t="s">
        <v>177</v>
      </c>
      <c r="D481" s="257" t="s">
        <v>2087</v>
      </c>
      <c r="E481" s="268">
        <v>30000</v>
      </c>
      <c r="F481" s="259">
        <v>51.755726771167232</v>
      </c>
      <c r="G481" s="269">
        <v>579.64599999999996</v>
      </c>
      <c r="H481" s="261" t="s">
        <v>200</v>
      </c>
      <c r="I481" s="261" t="s">
        <v>1137</v>
      </c>
      <c r="J481" s="261" t="s">
        <v>98</v>
      </c>
      <c r="K481" s="265" t="s">
        <v>202</v>
      </c>
      <c r="L481" s="261" t="s">
        <v>155</v>
      </c>
      <c r="M481" s="257"/>
      <c r="N481" s="257"/>
      <c r="O481" s="257"/>
    </row>
    <row r="482" spans="1:15" hidden="1">
      <c r="A482" s="267">
        <v>45735</v>
      </c>
      <c r="B482" s="257" t="s">
        <v>811</v>
      </c>
      <c r="C482" s="264" t="s">
        <v>2086</v>
      </c>
      <c r="D482" s="257" t="s">
        <v>118</v>
      </c>
      <c r="E482" s="268">
        <v>19830</v>
      </c>
      <c r="F482" s="259">
        <v>34.210535395741545</v>
      </c>
      <c r="G482" s="269">
        <v>579.64599999999996</v>
      </c>
      <c r="H482" s="261" t="s">
        <v>583</v>
      </c>
      <c r="I482" s="261" t="s">
        <v>862</v>
      </c>
      <c r="J482" s="261" t="s">
        <v>98</v>
      </c>
      <c r="K482" s="265" t="s">
        <v>202</v>
      </c>
      <c r="L482" s="261" t="s">
        <v>155</v>
      </c>
      <c r="M482" s="257"/>
      <c r="N482" s="257"/>
      <c r="O482" s="257"/>
    </row>
    <row r="483" spans="1:15" hidden="1">
      <c r="A483" s="267">
        <v>45735</v>
      </c>
      <c r="B483" s="257" t="s">
        <v>812</v>
      </c>
      <c r="C483" s="263" t="s">
        <v>1163</v>
      </c>
      <c r="D483" s="257" t="s">
        <v>118</v>
      </c>
      <c r="E483" s="268">
        <v>300000</v>
      </c>
      <c r="F483" s="259">
        <v>517.55726771167235</v>
      </c>
      <c r="G483" s="269">
        <v>579.64599999999996</v>
      </c>
      <c r="H483" s="261" t="s">
        <v>583</v>
      </c>
      <c r="I483" s="261" t="s">
        <v>863</v>
      </c>
      <c r="J483" s="261" t="s">
        <v>98</v>
      </c>
      <c r="K483" s="265" t="s">
        <v>202</v>
      </c>
      <c r="L483" s="261" t="s">
        <v>155</v>
      </c>
      <c r="M483" s="257"/>
      <c r="N483" s="257"/>
      <c r="O483" s="257"/>
    </row>
    <row r="484" spans="1:15" hidden="1">
      <c r="A484" s="267">
        <v>45735</v>
      </c>
      <c r="B484" s="257" t="s">
        <v>3026</v>
      </c>
      <c r="C484" s="263" t="s">
        <v>177</v>
      </c>
      <c r="D484" s="258" t="s">
        <v>442</v>
      </c>
      <c r="E484" s="268">
        <v>120000</v>
      </c>
      <c r="F484" s="259">
        <v>207.02290708466893</v>
      </c>
      <c r="G484" s="269">
        <v>579.64599999999996</v>
      </c>
      <c r="H484" s="261" t="s">
        <v>184</v>
      </c>
      <c r="I484" s="261" t="s">
        <v>974</v>
      </c>
      <c r="J484" s="261" t="s">
        <v>98</v>
      </c>
      <c r="K484" s="265" t="s">
        <v>202</v>
      </c>
      <c r="L484" s="261" t="s">
        <v>155</v>
      </c>
      <c r="M484" s="257"/>
      <c r="N484" s="257"/>
      <c r="O484" s="257"/>
    </row>
    <row r="485" spans="1:15" hidden="1">
      <c r="A485" s="267">
        <v>45735</v>
      </c>
      <c r="B485" s="257" t="s">
        <v>1000</v>
      </c>
      <c r="C485" s="257" t="s">
        <v>308</v>
      </c>
      <c r="D485" s="258" t="s">
        <v>442</v>
      </c>
      <c r="E485" s="268">
        <v>10000</v>
      </c>
      <c r="F485" s="259">
        <v>17.251908923722411</v>
      </c>
      <c r="G485" s="269">
        <v>579.64599999999996</v>
      </c>
      <c r="H485" s="261" t="s">
        <v>175</v>
      </c>
      <c r="I485" s="261" t="s">
        <v>1001</v>
      </c>
      <c r="J485" s="261" t="s">
        <v>98</v>
      </c>
      <c r="K485" s="265" t="s">
        <v>202</v>
      </c>
      <c r="L485" s="261" t="s">
        <v>155</v>
      </c>
      <c r="M485" s="257"/>
      <c r="N485" s="257"/>
      <c r="O485" s="257"/>
    </row>
    <row r="486" spans="1:15" hidden="1">
      <c r="A486" s="267">
        <v>45735</v>
      </c>
      <c r="B486" s="257" t="s">
        <v>1079</v>
      </c>
      <c r="C486" s="263" t="s">
        <v>177</v>
      </c>
      <c r="D486" s="258" t="s">
        <v>117</v>
      </c>
      <c r="E486" s="268">
        <v>30000</v>
      </c>
      <c r="F486" s="259">
        <v>51.755726771167232</v>
      </c>
      <c r="G486" s="269">
        <v>579.64599999999996</v>
      </c>
      <c r="H486" s="261" t="s">
        <v>193</v>
      </c>
      <c r="I486" s="261" t="s">
        <v>1080</v>
      </c>
      <c r="J486" s="261" t="s">
        <v>98</v>
      </c>
      <c r="K486" s="265" t="s">
        <v>202</v>
      </c>
      <c r="L486" s="261" t="s">
        <v>155</v>
      </c>
      <c r="M486" s="257"/>
      <c r="N486" s="257"/>
      <c r="O486" s="257"/>
    </row>
    <row r="487" spans="1:15" hidden="1">
      <c r="A487" s="267">
        <v>45736</v>
      </c>
      <c r="B487" s="257" t="s">
        <v>965</v>
      </c>
      <c r="C487" s="263" t="s">
        <v>365</v>
      </c>
      <c r="D487" s="258" t="s">
        <v>442</v>
      </c>
      <c r="E487" s="268">
        <v>31000</v>
      </c>
      <c r="F487" s="259">
        <v>53.480917663539472</v>
      </c>
      <c r="G487" s="269">
        <v>579.64599999999996</v>
      </c>
      <c r="H487" s="261" t="s">
        <v>153</v>
      </c>
      <c r="I487" s="261" t="s">
        <v>966</v>
      </c>
      <c r="J487" s="261" t="s">
        <v>98</v>
      </c>
      <c r="K487" s="265" t="s">
        <v>202</v>
      </c>
      <c r="L487" s="261" t="s">
        <v>155</v>
      </c>
      <c r="M487" s="257"/>
      <c r="N487" s="257"/>
      <c r="O487" s="257"/>
    </row>
    <row r="488" spans="1:15" hidden="1">
      <c r="A488" s="267">
        <v>45736</v>
      </c>
      <c r="B488" s="257" t="s">
        <v>635</v>
      </c>
      <c r="C488" s="264" t="s">
        <v>2086</v>
      </c>
      <c r="D488" s="257" t="s">
        <v>118</v>
      </c>
      <c r="E488" s="268">
        <v>2017</v>
      </c>
      <c r="F488" s="259">
        <v>3.4797100299148105</v>
      </c>
      <c r="G488" s="269">
        <v>579.64599999999996</v>
      </c>
      <c r="H488" s="261" t="s">
        <v>153</v>
      </c>
      <c r="I488" s="261" t="s">
        <v>967</v>
      </c>
      <c r="J488" s="261" t="s">
        <v>98</v>
      </c>
      <c r="K488" s="265" t="s">
        <v>202</v>
      </c>
      <c r="L488" s="261" t="s">
        <v>155</v>
      </c>
      <c r="M488" s="257"/>
      <c r="N488" s="257"/>
      <c r="O488" s="257"/>
    </row>
    <row r="489" spans="1:15" hidden="1">
      <c r="A489" s="267">
        <v>45736</v>
      </c>
      <c r="B489" s="257" t="s">
        <v>3066</v>
      </c>
      <c r="C489" s="263" t="s">
        <v>174</v>
      </c>
      <c r="D489" s="258" t="s">
        <v>442</v>
      </c>
      <c r="E489" s="268">
        <v>6000</v>
      </c>
      <c r="F489" s="259">
        <v>10.351145354233447</v>
      </c>
      <c r="G489" s="269">
        <v>579.64599999999996</v>
      </c>
      <c r="H489" s="261" t="s">
        <v>317</v>
      </c>
      <c r="I489" s="261" t="s">
        <v>1023</v>
      </c>
      <c r="J489" s="261" t="s">
        <v>98</v>
      </c>
      <c r="K489" s="265" t="s">
        <v>202</v>
      </c>
      <c r="L489" s="261" t="s">
        <v>155</v>
      </c>
      <c r="M489" s="257"/>
      <c r="N489" s="257"/>
      <c r="O489" s="257"/>
    </row>
    <row r="490" spans="1:15" hidden="1">
      <c r="A490" s="267">
        <v>45736</v>
      </c>
      <c r="B490" s="257" t="s">
        <v>803</v>
      </c>
      <c r="C490" s="264" t="s">
        <v>2086</v>
      </c>
      <c r="D490" s="257" t="s">
        <v>118</v>
      </c>
      <c r="E490" s="268">
        <v>6320</v>
      </c>
      <c r="F490" s="259">
        <v>10.903206439792564</v>
      </c>
      <c r="G490" s="269">
        <v>579.64599999999996</v>
      </c>
      <c r="H490" s="261" t="s">
        <v>323</v>
      </c>
      <c r="I490" s="261" t="s">
        <v>864</v>
      </c>
      <c r="J490" s="261" t="s">
        <v>98</v>
      </c>
      <c r="K490" s="265" t="s">
        <v>202</v>
      </c>
      <c r="L490" s="261" t="s">
        <v>155</v>
      </c>
      <c r="M490" s="257"/>
      <c r="N490" s="257"/>
      <c r="O490" s="257"/>
    </row>
    <row r="491" spans="1:15" hidden="1">
      <c r="A491" s="267">
        <v>45737</v>
      </c>
      <c r="B491" s="257" t="s">
        <v>811</v>
      </c>
      <c r="C491" s="264" t="s">
        <v>2086</v>
      </c>
      <c r="D491" s="257" t="s">
        <v>118</v>
      </c>
      <c r="E491" s="268">
        <v>14640</v>
      </c>
      <c r="F491" s="259">
        <v>25.256794664329611</v>
      </c>
      <c r="G491" s="269">
        <v>579.64599999999996</v>
      </c>
      <c r="H491" s="261" t="s">
        <v>583</v>
      </c>
      <c r="I491" s="261" t="s">
        <v>865</v>
      </c>
      <c r="J491" s="261" t="s">
        <v>98</v>
      </c>
      <c r="K491" s="265" t="s">
        <v>202</v>
      </c>
      <c r="L491" s="261" t="s">
        <v>155</v>
      </c>
      <c r="M491" s="257"/>
      <c r="N491" s="257"/>
      <c r="O491" s="257"/>
    </row>
    <row r="492" spans="1:15" hidden="1">
      <c r="A492" s="267">
        <v>45737</v>
      </c>
      <c r="B492" s="257" t="s">
        <v>3212</v>
      </c>
      <c r="C492" s="263" t="s">
        <v>177</v>
      </c>
      <c r="D492" s="258" t="s">
        <v>442</v>
      </c>
      <c r="E492" s="268">
        <v>70000</v>
      </c>
      <c r="F492" s="259">
        <v>120.76336246605688</v>
      </c>
      <c r="G492" s="269">
        <v>579.64599999999996</v>
      </c>
      <c r="H492" s="261" t="s">
        <v>175</v>
      </c>
      <c r="I492" s="261" t="s">
        <v>1002</v>
      </c>
      <c r="J492" s="261" t="s">
        <v>98</v>
      </c>
      <c r="K492" s="265" t="s">
        <v>202</v>
      </c>
      <c r="L492" s="261" t="s">
        <v>155</v>
      </c>
      <c r="M492" s="257"/>
      <c r="N492" s="257"/>
      <c r="O492" s="257"/>
    </row>
    <row r="493" spans="1:15" hidden="1">
      <c r="A493" s="267">
        <v>45737</v>
      </c>
      <c r="B493" s="257" t="s">
        <v>3167</v>
      </c>
      <c r="C493" s="263" t="s">
        <v>174</v>
      </c>
      <c r="D493" s="258" t="s">
        <v>442</v>
      </c>
      <c r="E493" s="268">
        <v>9000</v>
      </c>
      <c r="F493" s="259">
        <v>15.526718031350169</v>
      </c>
      <c r="G493" s="269">
        <v>579.64599999999996</v>
      </c>
      <c r="H493" s="261" t="s">
        <v>175</v>
      </c>
      <c r="I493" s="261" t="s">
        <v>1003</v>
      </c>
      <c r="J493" s="261" t="s">
        <v>98</v>
      </c>
      <c r="K493" s="265" t="s">
        <v>202</v>
      </c>
      <c r="L493" s="261" t="s">
        <v>155</v>
      </c>
      <c r="M493" s="257"/>
      <c r="N493" s="257"/>
      <c r="O493" s="257"/>
    </row>
    <row r="494" spans="1:15" hidden="1">
      <c r="A494" s="267">
        <v>45737</v>
      </c>
      <c r="B494" s="257" t="s">
        <v>3205</v>
      </c>
      <c r="C494" s="263" t="s">
        <v>177</v>
      </c>
      <c r="D494" s="258" t="s">
        <v>442</v>
      </c>
      <c r="E494" s="268">
        <v>70000</v>
      </c>
      <c r="F494" s="259">
        <v>120.76336246605688</v>
      </c>
      <c r="G494" s="269">
        <v>579.64599999999996</v>
      </c>
      <c r="H494" s="261" t="s">
        <v>317</v>
      </c>
      <c r="I494" s="261" t="s">
        <v>1024</v>
      </c>
      <c r="J494" s="261" t="s">
        <v>98</v>
      </c>
      <c r="K494" s="265" t="s">
        <v>202</v>
      </c>
      <c r="L494" s="261" t="s">
        <v>155</v>
      </c>
      <c r="M494" s="257"/>
      <c r="N494" s="257"/>
      <c r="O494" s="257"/>
    </row>
    <row r="495" spans="1:15" hidden="1">
      <c r="A495" s="267">
        <v>45737</v>
      </c>
      <c r="B495" s="257" t="s">
        <v>737</v>
      </c>
      <c r="C495" s="263" t="s">
        <v>174</v>
      </c>
      <c r="D495" s="258" t="s">
        <v>117</v>
      </c>
      <c r="E495" s="268">
        <v>7000</v>
      </c>
      <c r="F495" s="259">
        <v>12.076336246605688</v>
      </c>
      <c r="G495" s="269">
        <v>579.64599999999996</v>
      </c>
      <c r="H495" s="261" t="s">
        <v>193</v>
      </c>
      <c r="I495" s="261" t="s">
        <v>1081</v>
      </c>
      <c r="J495" s="261" t="s">
        <v>98</v>
      </c>
      <c r="K495" s="265" t="s">
        <v>202</v>
      </c>
      <c r="L495" s="261" t="s">
        <v>155</v>
      </c>
      <c r="M495" s="257"/>
      <c r="N495" s="257"/>
      <c r="O495" s="257"/>
    </row>
    <row r="496" spans="1:15" hidden="1">
      <c r="A496" s="267">
        <v>45738</v>
      </c>
      <c r="B496" s="257" t="s">
        <v>1116</v>
      </c>
      <c r="C496" s="263" t="s">
        <v>177</v>
      </c>
      <c r="D496" s="257" t="s">
        <v>2087</v>
      </c>
      <c r="E496" s="268">
        <v>11800</v>
      </c>
      <c r="F496" s="259">
        <v>20.357252529992444</v>
      </c>
      <c r="G496" s="269">
        <v>579.64599999999996</v>
      </c>
      <c r="H496" s="261" t="s">
        <v>200</v>
      </c>
      <c r="I496" s="261" t="s">
        <v>1138</v>
      </c>
      <c r="J496" s="261" t="s">
        <v>98</v>
      </c>
      <c r="K496" s="265" t="s">
        <v>202</v>
      </c>
      <c r="L496" s="261" t="s">
        <v>155</v>
      </c>
      <c r="M496" s="257"/>
      <c r="N496" s="257"/>
      <c r="O496" s="257"/>
    </row>
    <row r="497" spans="1:15" hidden="1">
      <c r="A497" s="267">
        <v>45738</v>
      </c>
      <c r="B497" s="257" t="s">
        <v>975</v>
      </c>
      <c r="C497" s="263" t="s">
        <v>365</v>
      </c>
      <c r="D497" s="258" t="s">
        <v>442</v>
      </c>
      <c r="E497" s="268">
        <v>90100</v>
      </c>
      <c r="F497" s="259">
        <v>155.43969940273894</v>
      </c>
      <c r="G497" s="269">
        <v>579.64599999999996</v>
      </c>
      <c r="H497" s="261" t="s">
        <v>184</v>
      </c>
      <c r="I497" s="261" t="s">
        <v>976</v>
      </c>
      <c r="J497" s="261" t="s">
        <v>98</v>
      </c>
      <c r="K497" s="265" t="s">
        <v>202</v>
      </c>
      <c r="L497" s="261" t="s">
        <v>155</v>
      </c>
      <c r="M497" s="257"/>
      <c r="N497" s="257"/>
      <c r="O497" s="257"/>
    </row>
    <row r="498" spans="1:15" hidden="1">
      <c r="A498" s="267">
        <v>45738</v>
      </c>
      <c r="B498" s="257" t="s">
        <v>3213</v>
      </c>
      <c r="C498" s="263" t="s">
        <v>174</v>
      </c>
      <c r="D498" s="258" t="s">
        <v>442</v>
      </c>
      <c r="E498" s="268">
        <v>15000</v>
      </c>
      <c r="F498" s="259">
        <v>25.877863385583616</v>
      </c>
      <c r="G498" s="269">
        <v>579.64599999999996</v>
      </c>
      <c r="H498" s="261" t="s">
        <v>184</v>
      </c>
      <c r="I498" s="261" t="s">
        <v>977</v>
      </c>
      <c r="J498" s="261" t="s">
        <v>98</v>
      </c>
      <c r="K498" s="265" t="s">
        <v>202</v>
      </c>
      <c r="L498" s="261" t="s">
        <v>155</v>
      </c>
      <c r="M498" s="257"/>
      <c r="N498" s="257"/>
      <c r="O498" s="257"/>
    </row>
    <row r="499" spans="1:15" hidden="1">
      <c r="A499" s="267">
        <v>45738</v>
      </c>
      <c r="B499" s="257" t="s">
        <v>3214</v>
      </c>
      <c r="C499" s="263" t="s">
        <v>174</v>
      </c>
      <c r="D499" s="258" t="s">
        <v>442</v>
      </c>
      <c r="E499" s="268">
        <v>15000</v>
      </c>
      <c r="F499" s="259">
        <v>25.877863385583616</v>
      </c>
      <c r="G499" s="269">
        <v>579.64599999999996</v>
      </c>
      <c r="H499" s="261" t="s">
        <v>184</v>
      </c>
      <c r="I499" s="261" t="s">
        <v>978</v>
      </c>
      <c r="J499" s="261" t="s">
        <v>98</v>
      </c>
      <c r="K499" s="265" t="s">
        <v>202</v>
      </c>
      <c r="L499" s="261" t="s">
        <v>155</v>
      </c>
      <c r="M499" s="257"/>
      <c r="N499" s="257"/>
      <c r="O499" s="257"/>
    </row>
    <row r="500" spans="1:15" hidden="1">
      <c r="A500" s="267">
        <v>45738</v>
      </c>
      <c r="B500" s="257" t="s">
        <v>3028</v>
      </c>
      <c r="C500" s="263" t="s">
        <v>174</v>
      </c>
      <c r="D500" s="258" t="s">
        <v>442</v>
      </c>
      <c r="E500" s="268">
        <v>50000</v>
      </c>
      <c r="F500" s="259">
        <v>86.259544618612054</v>
      </c>
      <c r="G500" s="269">
        <v>579.64599999999996</v>
      </c>
      <c r="H500" s="261" t="s">
        <v>184</v>
      </c>
      <c r="I500" s="261" t="s">
        <v>979</v>
      </c>
      <c r="J500" s="261" t="s">
        <v>98</v>
      </c>
      <c r="K500" s="265" t="s">
        <v>202</v>
      </c>
      <c r="L500" s="261" t="s">
        <v>155</v>
      </c>
      <c r="M500" s="257"/>
      <c r="N500" s="257"/>
      <c r="O500" s="257"/>
    </row>
    <row r="501" spans="1:15" hidden="1">
      <c r="A501" s="267">
        <v>45738</v>
      </c>
      <c r="B501" s="257" t="s">
        <v>3029</v>
      </c>
      <c r="C501" s="263" t="s">
        <v>174</v>
      </c>
      <c r="D501" s="258" t="s">
        <v>442</v>
      </c>
      <c r="E501" s="268">
        <v>7000</v>
      </c>
      <c r="F501" s="259">
        <v>12.076336246605688</v>
      </c>
      <c r="G501" s="269">
        <v>579.64599999999996</v>
      </c>
      <c r="H501" s="261" t="s">
        <v>184</v>
      </c>
      <c r="I501" s="261" t="s">
        <v>980</v>
      </c>
      <c r="J501" s="261" t="s">
        <v>98</v>
      </c>
      <c r="K501" s="265" t="s">
        <v>202</v>
      </c>
      <c r="L501" s="261" t="s">
        <v>155</v>
      </c>
      <c r="M501" s="257"/>
      <c r="N501" s="257"/>
      <c r="O501" s="257"/>
    </row>
    <row r="502" spans="1:15" hidden="1">
      <c r="A502" s="267">
        <v>45738</v>
      </c>
      <c r="B502" s="257" t="s">
        <v>3215</v>
      </c>
      <c r="C502" s="263" t="s">
        <v>177</v>
      </c>
      <c r="D502" s="258" t="s">
        <v>442</v>
      </c>
      <c r="E502" s="268">
        <v>225000</v>
      </c>
      <c r="F502" s="259">
        <v>388.16795078375424</v>
      </c>
      <c r="G502" s="269">
        <v>579.64599999999996</v>
      </c>
      <c r="H502" s="261" t="s">
        <v>323</v>
      </c>
      <c r="I502" s="261" t="s">
        <v>1036</v>
      </c>
      <c r="J502" s="261" t="s">
        <v>98</v>
      </c>
      <c r="K502" s="265" t="s">
        <v>202</v>
      </c>
      <c r="L502" s="261" t="s">
        <v>155</v>
      </c>
      <c r="M502" s="257"/>
      <c r="N502" s="257"/>
      <c r="O502" s="257"/>
    </row>
    <row r="503" spans="1:15" hidden="1">
      <c r="A503" s="267">
        <v>45738</v>
      </c>
      <c r="B503" s="257" t="s">
        <v>3199</v>
      </c>
      <c r="C503" s="263" t="s">
        <v>174</v>
      </c>
      <c r="D503" s="258" t="s">
        <v>442</v>
      </c>
      <c r="E503" s="268">
        <v>7000</v>
      </c>
      <c r="F503" s="259">
        <v>12.076336246605688</v>
      </c>
      <c r="G503" s="269">
        <v>579.64599999999996</v>
      </c>
      <c r="H503" s="261" t="s">
        <v>323</v>
      </c>
      <c r="I503" s="261" t="s">
        <v>1037</v>
      </c>
      <c r="J503" s="261" t="s">
        <v>98</v>
      </c>
      <c r="K503" s="265" t="s">
        <v>202</v>
      </c>
      <c r="L503" s="261" t="s">
        <v>155</v>
      </c>
      <c r="M503" s="257"/>
      <c r="N503" s="257"/>
      <c r="O503" s="257"/>
    </row>
    <row r="504" spans="1:15" hidden="1">
      <c r="A504" s="267">
        <v>45738</v>
      </c>
      <c r="B504" s="257" t="s">
        <v>247</v>
      </c>
      <c r="C504" s="263" t="s">
        <v>177</v>
      </c>
      <c r="D504" s="257" t="s">
        <v>2087</v>
      </c>
      <c r="E504" s="268">
        <v>9600</v>
      </c>
      <c r="F504" s="259">
        <v>16.561832566773514</v>
      </c>
      <c r="G504" s="269">
        <v>579.64599999999996</v>
      </c>
      <c r="H504" s="261" t="s">
        <v>187</v>
      </c>
      <c r="I504" s="261" t="s">
        <v>1048</v>
      </c>
      <c r="J504" s="261" t="s">
        <v>98</v>
      </c>
      <c r="K504" s="265" t="s">
        <v>202</v>
      </c>
      <c r="L504" s="261" t="s">
        <v>155</v>
      </c>
      <c r="M504" s="257"/>
      <c r="N504" s="257"/>
      <c r="O504" s="257"/>
    </row>
    <row r="505" spans="1:15" hidden="1">
      <c r="A505" s="267">
        <v>45738</v>
      </c>
      <c r="B505" s="257" t="s">
        <v>514</v>
      </c>
      <c r="C505" s="263" t="s">
        <v>177</v>
      </c>
      <c r="D505" s="257" t="s">
        <v>2087</v>
      </c>
      <c r="E505" s="268">
        <v>8900</v>
      </c>
      <c r="F505" s="259">
        <v>15.354198942112946</v>
      </c>
      <c r="G505" s="269">
        <v>579.64599999999996</v>
      </c>
      <c r="H505" s="261" t="s">
        <v>190</v>
      </c>
      <c r="I505" s="261" t="s">
        <v>1068</v>
      </c>
      <c r="J505" s="261" t="s">
        <v>98</v>
      </c>
      <c r="K505" s="265" t="s">
        <v>202</v>
      </c>
      <c r="L505" s="261" t="s">
        <v>155</v>
      </c>
      <c r="M505" s="257"/>
      <c r="N505" s="257"/>
      <c r="O505" s="257"/>
    </row>
    <row r="506" spans="1:15" hidden="1">
      <c r="A506" s="267">
        <v>45738</v>
      </c>
      <c r="B506" s="257" t="s">
        <v>1082</v>
      </c>
      <c r="C506" s="263" t="s">
        <v>177</v>
      </c>
      <c r="D506" s="258" t="s">
        <v>117</v>
      </c>
      <c r="E506" s="268">
        <v>45000</v>
      </c>
      <c r="F506" s="259">
        <v>77.633590156750856</v>
      </c>
      <c r="G506" s="260">
        <v>579.64599999999996</v>
      </c>
      <c r="H506" s="261" t="s">
        <v>193</v>
      </c>
      <c r="I506" s="261" t="s">
        <v>1083</v>
      </c>
      <c r="J506" s="261" t="s">
        <v>98</v>
      </c>
      <c r="K506" s="261" t="s">
        <v>1132</v>
      </c>
      <c r="L506" s="261" t="s">
        <v>155</v>
      </c>
      <c r="M506" s="257"/>
      <c r="N506" s="257"/>
      <c r="O506" s="257"/>
    </row>
    <row r="507" spans="1:15" hidden="1">
      <c r="A507" s="267">
        <v>45738</v>
      </c>
      <c r="B507" s="257" t="s">
        <v>1089</v>
      </c>
      <c r="C507" s="263" t="s">
        <v>174</v>
      </c>
      <c r="D507" s="257" t="s">
        <v>2087</v>
      </c>
      <c r="E507" s="268">
        <v>25000</v>
      </c>
      <c r="F507" s="259">
        <v>43.129772309306027</v>
      </c>
      <c r="G507" s="260">
        <v>579.64599999999996</v>
      </c>
      <c r="H507" s="261" t="s">
        <v>437</v>
      </c>
      <c r="I507" s="261" t="s">
        <v>1090</v>
      </c>
      <c r="J507" s="261" t="s">
        <v>98</v>
      </c>
      <c r="K507" s="261" t="s">
        <v>1132</v>
      </c>
      <c r="L507" s="261" t="s">
        <v>155</v>
      </c>
      <c r="M507" s="257"/>
      <c r="N507" s="257"/>
      <c r="O507" s="257"/>
    </row>
    <row r="508" spans="1:15" hidden="1">
      <c r="A508" s="267">
        <v>45738</v>
      </c>
      <c r="B508" s="257" t="s">
        <v>260</v>
      </c>
      <c r="C508" s="263" t="s">
        <v>177</v>
      </c>
      <c r="D508" s="258" t="s">
        <v>117</v>
      </c>
      <c r="E508" s="268">
        <v>19200</v>
      </c>
      <c r="F508" s="259">
        <v>33.123665133547028</v>
      </c>
      <c r="G508" s="260">
        <v>579.64599999999996</v>
      </c>
      <c r="H508" s="261" t="s">
        <v>437</v>
      </c>
      <c r="I508" s="261" t="s">
        <v>1091</v>
      </c>
      <c r="J508" s="261" t="s">
        <v>98</v>
      </c>
      <c r="K508" s="261" t="s">
        <v>1132</v>
      </c>
      <c r="L508" s="261" t="s">
        <v>155</v>
      </c>
      <c r="M508" s="257"/>
      <c r="N508" s="257"/>
      <c r="O508" s="257"/>
    </row>
    <row r="509" spans="1:15" hidden="1">
      <c r="A509" s="267">
        <v>45738</v>
      </c>
      <c r="B509" s="257" t="s">
        <v>262</v>
      </c>
      <c r="C509" s="263" t="s">
        <v>177</v>
      </c>
      <c r="D509" s="257" t="s">
        <v>2087</v>
      </c>
      <c r="E509" s="268">
        <v>9600</v>
      </c>
      <c r="F509" s="259">
        <v>16.561832566773514</v>
      </c>
      <c r="G509" s="260">
        <v>579.64599999999996</v>
      </c>
      <c r="H509" s="261" t="s">
        <v>213</v>
      </c>
      <c r="I509" s="261" t="s">
        <v>1101</v>
      </c>
      <c r="J509" s="261" t="s">
        <v>98</v>
      </c>
      <c r="K509" s="261" t="s">
        <v>1132</v>
      </c>
      <c r="L509" s="261" t="s">
        <v>155</v>
      </c>
      <c r="M509" s="257"/>
      <c r="N509" s="257"/>
      <c r="O509" s="257"/>
    </row>
    <row r="510" spans="1:15" hidden="1">
      <c r="A510" s="267">
        <v>45739</v>
      </c>
      <c r="B510" s="257" t="s">
        <v>3026</v>
      </c>
      <c r="C510" s="263" t="s">
        <v>177</v>
      </c>
      <c r="D510" s="257" t="s">
        <v>2087</v>
      </c>
      <c r="E510" s="268">
        <v>140000</v>
      </c>
      <c r="F510" s="259">
        <v>241.52672493211375</v>
      </c>
      <c r="G510" s="260">
        <v>579.64599999999996</v>
      </c>
      <c r="H510" s="261" t="s">
        <v>184</v>
      </c>
      <c r="I510" s="261" t="s">
        <v>981</v>
      </c>
      <c r="J510" s="261" t="s">
        <v>98</v>
      </c>
      <c r="K510" s="261" t="s">
        <v>1132</v>
      </c>
      <c r="L510" s="261" t="s">
        <v>155</v>
      </c>
      <c r="M510" s="257"/>
      <c r="N510" s="257"/>
      <c r="O510" s="257"/>
    </row>
    <row r="511" spans="1:15" hidden="1">
      <c r="A511" s="267">
        <v>45739</v>
      </c>
      <c r="B511" s="257" t="s">
        <v>3026</v>
      </c>
      <c r="C511" s="263" t="s">
        <v>177</v>
      </c>
      <c r="D511" s="257" t="s">
        <v>2087</v>
      </c>
      <c r="E511" s="268">
        <v>140000</v>
      </c>
      <c r="F511" s="259">
        <v>241.52672493211375</v>
      </c>
      <c r="G511" s="260">
        <v>579.64599999999996</v>
      </c>
      <c r="H511" s="261" t="s">
        <v>184</v>
      </c>
      <c r="I511" s="261" t="s">
        <v>982</v>
      </c>
      <c r="J511" s="261" t="s">
        <v>98</v>
      </c>
      <c r="K511" s="261" t="s">
        <v>1132</v>
      </c>
      <c r="L511" s="261" t="s">
        <v>155</v>
      </c>
      <c r="M511" s="257"/>
      <c r="N511" s="257"/>
      <c r="O511" s="257"/>
    </row>
    <row r="512" spans="1:15" hidden="1">
      <c r="A512" s="267">
        <v>45740</v>
      </c>
      <c r="B512" s="257" t="s">
        <v>1117</v>
      </c>
      <c r="C512" s="257" t="s">
        <v>265</v>
      </c>
      <c r="D512" s="257" t="s">
        <v>2087</v>
      </c>
      <c r="E512" s="268">
        <v>180000</v>
      </c>
      <c r="F512" s="259">
        <v>310.53436062700342</v>
      </c>
      <c r="G512" s="269">
        <v>579.64599999999996</v>
      </c>
      <c r="H512" s="261" t="s">
        <v>200</v>
      </c>
      <c r="I512" s="261" t="s">
        <v>1139</v>
      </c>
      <c r="J512" s="261" t="s">
        <v>98</v>
      </c>
      <c r="K512" s="265" t="s">
        <v>202</v>
      </c>
      <c r="L512" s="261" t="s">
        <v>155</v>
      </c>
      <c r="M512" s="257"/>
      <c r="N512" s="257"/>
      <c r="O512" s="257"/>
    </row>
    <row r="513" spans="1:15" hidden="1">
      <c r="A513" s="267">
        <v>45740</v>
      </c>
      <c r="B513" s="257" t="s">
        <v>1118</v>
      </c>
      <c r="C513" s="257" t="s">
        <v>265</v>
      </c>
      <c r="D513" s="257" t="s">
        <v>2087</v>
      </c>
      <c r="E513" s="268">
        <v>20000</v>
      </c>
      <c r="F513" s="259">
        <v>34.503817847444822</v>
      </c>
      <c r="G513" s="260">
        <v>579.64599999999996</v>
      </c>
      <c r="H513" s="261" t="s">
        <v>200</v>
      </c>
      <c r="I513" s="261" t="s">
        <v>1140</v>
      </c>
      <c r="J513" s="261" t="s">
        <v>98</v>
      </c>
      <c r="K513" s="261" t="s">
        <v>1132</v>
      </c>
      <c r="L513" s="261" t="s">
        <v>155</v>
      </c>
      <c r="M513" s="257"/>
      <c r="N513" s="257"/>
      <c r="O513" s="257"/>
    </row>
    <row r="514" spans="1:15" hidden="1">
      <c r="A514" s="267">
        <v>45740</v>
      </c>
      <c r="B514" s="257" t="s">
        <v>814</v>
      </c>
      <c r="C514" s="264" t="s">
        <v>2086</v>
      </c>
      <c r="D514" s="257" t="s">
        <v>118</v>
      </c>
      <c r="E514" s="268">
        <v>7780</v>
      </c>
      <c r="F514" s="259">
        <v>13.421985142656036</v>
      </c>
      <c r="G514" s="269">
        <v>579.64599999999996</v>
      </c>
      <c r="H514" s="261" t="s">
        <v>583</v>
      </c>
      <c r="I514" s="261" t="s">
        <v>867</v>
      </c>
      <c r="J514" s="261" t="s">
        <v>98</v>
      </c>
      <c r="K514" s="265" t="s">
        <v>202</v>
      </c>
      <c r="L514" s="261" t="s">
        <v>155</v>
      </c>
      <c r="M514" s="257"/>
      <c r="N514" s="257"/>
      <c r="O514" s="257"/>
    </row>
    <row r="515" spans="1:15" hidden="1">
      <c r="A515" s="267">
        <v>45740</v>
      </c>
      <c r="B515" s="257" t="s">
        <v>815</v>
      </c>
      <c r="C515" s="264" t="s">
        <v>2086</v>
      </c>
      <c r="D515" s="257" t="s">
        <v>118</v>
      </c>
      <c r="E515" s="268">
        <v>6300</v>
      </c>
      <c r="F515" s="259">
        <v>10.868702621945118</v>
      </c>
      <c r="G515" s="269">
        <v>579.64599999999996</v>
      </c>
      <c r="H515" s="261" t="s">
        <v>583</v>
      </c>
      <c r="I515" s="261" t="s">
        <v>868</v>
      </c>
      <c r="J515" s="261" t="s">
        <v>98</v>
      </c>
      <c r="K515" s="265" t="s">
        <v>202</v>
      </c>
      <c r="L515" s="261" t="s">
        <v>155</v>
      </c>
      <c r="M515" s="257"/>
      <c r="N515" s="257"/>
      <c r="O515" s="257"/>
    </row>
    <row r="516" spans="1:15" hidden="1">
      <c r="A516" s="267">
        <v>45740</v>
      </c>
      <c r="B516" s="257" t="s">
        <v>1156</v>
      </c>
      <c r="C516" s="263" t="s">
        <v>174</v>
      </c>
      <c r="D516" s="258" t="s">
        <v>117</v>
      </c>
      <c r="E516" s="268">
        <v>42000</v>
      </c>
      <c r="F516" s="259">
        <v>72.458017479634123</v>
      </c>
      <c r="G516" s="260">
        <v>579.64599999999996</v>
      </c>
      <c r="H516" s="261" t="s">
        <v>583</v>
      </c>
      <c r="I516" s="261" t="s">
        <v>869</v>
      </c>
      <c r="J516" s="261" t="s">
        <v>98</v>
      </c>
      <c r="K516" s="261" t="s">
        <v>1132</v>
      </c>
      <c r="L516" s="261" t="s">
        <v>155</v>
      </c>
      <c r="M516" s="257"/>
      <c r="N516" s="257"/>
      <c r="O516" s="257"/>
    </row>
    <row r="517" spans="1:15" hidden="1">
      <c r="A517" s="267">
        <v>45740</v>
      </c>
      <c r="B517" s="257" t="s">
        <v>3026</v>
      </c>
      <c r="C517" s="263" t="s">
        <v>177</v>
      </c>
      <c r="D517" s="258" t="s">
        <v>442</v>
      </c>
      <c r="E517" s="268">
        <v>30000</v>
      </c>
      <c r="F517" s="259">
        <v>51.755726771167232</v>
      </c>
      <c r="G517" s="260">
        <v>579.64599999999996</v>
      </c>
      <c r="H517" s="261" t="s">
        <v>184</v>
      </c>
      <c r="I517" s="261" t="s">
        <v>983</v>
      </c>
      <c r="J517" s="261" t="s">
        <v>98</v>
      </c>
      <c r="K517" s="261" t="s">
        <v>1132</v>
      </c>
      <c r="L517" s="261" t="s">
        <v>155</v>
      </c>
      <c r="M517" s="257"/>
      <c r="N517" s="257"/>
      <c r="O517" s="257"/>
    </row>
    <row r="518" spans="1:15" hidden="1">
      <c r="A518" s="267">
        <v>45740</v>
      </c>
      <c r="B518" s="257" t="s">
        <v>984</v>
      </c>
      <c r="C518" s="263" t="s">
        <v>174</v>
      </c>
      <c r="D518" s="258" t="s">
        <v>442</v>
      </c>
      <c r="E518" s="268">
        <v>68000</v>
      </c>
      <c r="F518" s="259">
        <v>117.3129806813124</v>
      </c>
      <c r="G518" s="260">
        <v>579.64599999999996</v>
      </c>
      <c r="H518" s="261" t="s">
        <v>184</v>
      </c>
      <c r="I518" s="261" t="s">
        <v>985</v>
      </c>
      <c r="J518" s="261" t="s">
        <v>98</v>
      </c>
      <c r="K518" s="261" t="s">
        <v>1132</v>
      </c>
      <c r="L518" s="261" t="s">
        <v>155</v>
      </c>
      <c r="M518" s="257"/>
      <c r="N518" s="257"/>
      <c r="O518" s="257"/>
    </row>
    <row r="519" spans="1:15" hidden="1">
      <c r="A519" s="267">
        <v>45740</v>
      </c>
      <c r="B519" s="257" t="s">
        <v>3167</v>
      </c>
      <c r="C519" s="263" t="s">
        <v>174</v>
      </c>
      <c r="D519" s="258" t="s">
        <v>442</v>
      </c>
      <c r="E519" s="268">
        <v>5000</v>
      </c>
      <c r="F519" s="259">
        <v>8.6259544618612054</v>
      </c>
      <c r="G519" s="260">
        <v>579.64599999999996</v>
      </c>
      <c r="H519" s="261" t="s">
        <v>175</v>
      </c>
      <c r="I519" s="261" t="s">
        <v>1004</v>
      </c>
      <c r="J519" s="261" t="s">
        <v>98</v>
      </c>
      <c r="K519" s="261" t="s">
        <v>1132</v>
      </c>
      <c r="L519" s="261" t="s">
        <v>155</v>
      </c>
      <c r="M519" s="257"/>
      <c r="N519" s="257"/>
      <c r="O519" s="257"/>
    </row>
    <row r="520" spans="1:15" hidden="1">
      <c r="A520" s="267">
        <v>45740</v>
      </c>
      <c r="B520" s="257" t="s">
        <v>3082</v>
      </c>
      <c r="C520" s="263" t="s">
        <v>177</v>
      </c>
      <c r="D520" s="258" t="s">
        <v>442</v>
      </c>
      <c r="E520" s="268">
        <v>45000</v>
      </c>
      <c r="F520" s="259">
        <v>77.633590156750856</v>
      </c>
      <c r="G520" s="260">
        <v>579.64599999999996</v>
      </c>
      <c r="H520" s="261" t="s">
        <v>175</v>
      </c>
      <c r="I520" s="261" t="s">
        <v>1005</v>
      </c>
      <c r="J520" s="261" t="s">
        <v>98</v>
      </c>
      <c r="K520" s="261" t="s">
        <v>1132</v>
      </c>
      <c r="L520" s="261" t="s">
        <v>155</v>
      </c>
      <c r="M520" s="257"/>
      <c r="N520" s="257"/>
      <c r="O520" s="257"/>
    </row>
    <row r="521" spans="1:15" hidden="1">
      <c r="A521" s="267">
        <v>45740</v>
      </c>
      <c r="B521" s="257" t="s">
        <v>3215</v>
      </c>
      <c r="C521" s="263" t="s">
        <v>177</v>
      </c>
      <c r="D521" s="258" t="s">
        <v>442</v>
      </c>
      <c r="E521" s="268">
        <v>30000</v>
      </c>
      <c r="F521" s="259">
        <v>51.755726771167232</v>
      </c>
      <c r="G521" s="260">
        <v>579.64599999999996</v>
      </c>
      <c r="H521" s="261" t="s">
        <v>323</v>
      </c>
      <c r="I521" s="261" t="s">
        <v>1038</v>
      </c>
      <c r="J521" s="261" t="s">
        <v>98</v>
      </c>
      <c r="K521" s="261" t="s">
        <v>1132</v>
      </c>
      <c r="L521" s="261" t="s">
        <v>155</v>
      </c>
      <c r="M521" s="257"/>
      <c r="N521" s="257"/>
      <c r="O521" s="257"/>
    </row>
    <row r="522" spans="1:15" hidden="1">
      <c r="A522" s="267">
        <v>45740</v>
      </c>
      <c r="B522" s="257" t="s">
        <v>813</v>
      </c>
      <c r="C522" s="263" t="s">
        <v>1163</v>
      </c>
      <c r="D522" s="257" t="s">
        <v>118</v>
      </c>
      <c r="E522" s="268">
        <v>101000</v>
      </c>
      <c r="F522" s="259">
        <v>174.24428012959635</v>
      </c>
      <c r="G522" s="260">
        <v>579.64599999999996</v>
      </c>
      <c r="H522" s="261" t="s">
        <v>193</v>
      </c>
      <c r="I522" s="261" t="s">
        <v>866</v>
      </c>
      <c r="J522" s="261" t="s">
        <v>98</v>
      </c>
      <c r="K522" s="261" t="s">
        <v>1132</v>
      </c>
      <c r="L522" s="261" t="s">
        <v>155</v>
      </c>
      <c r="M522" s="257"/>
      <c r="N522" s="257"/>
      <c r="O522" s="257"/>
    </row>
    <row r="523" spans="1:15" hidden="1">
      <c r="A523" s="267">
        <v>45740</v>
      </c>
      <c r="B523" s="257" t="s">
        <v>816</v>
      </c>
      <c r="C523" s="263" t="s">
        <v>177</v>
      </c>
      <c r="D523" s="258" t="s">
        <v>117</v>
      </c>
      <c r="E523" s="268">
        <v>275000</v>
      </c>
      <c r="F523" s="259">
        <v>474.42749540236633</v>
      </c>
      <c r="G523" s="269">
        <v>579.64599999999996</v>
      </c>
      <c r="H523" s="261" t="s">
        <v>193</v>
      </c>
      <c r="I523" s="261" t="s">
        <v>870</v>
      </c>
      <c r="J523" s="261" t="s">
        <v>98</v>
      </c>
      <c r="K523" s="265" t="s">
        <v>202</v>
      </c>
      <c r="L523" s="261" t="s">
        <v>155</v>
      </c>
      <c r="M523" s="257"/>
      <c r="N523" s="257"/>
      <c r="O523" s="257"/>
    </row>
    <row r="524" spans="1:15" hidden="1">
      <c r="A524" s="267">
        <v>45741</v>
      </c>
      <c r="B524" s="257" t="s">
        <v>3167</v>
      </c>
      <c r="C524" s="263" t="s">
        <v>174</v>
      </c>
      <c r="D524" s="258" t="s">
        <v>442</v>
      </c>
      <c r="E524" s="268">
        <v>15000</v>
      </c>
      <c r="F524" s="259">
        <v>25.877863385583616</v>
      </c>
      <c r="G524" s="260">
        <v>579.64599999999996</v>
      </c>
      <c r="H524" s="261" t="s">
        <v>175</v>
      </c>
      <c r="I524" s="261" t="s">
        <v>1007</v>
      </c>
      <c r="J524" s="261" t="s">
        <v>98</v>
      </c>
      <c r="K524" s="261" t="s">
        <v>1132</v>
      </c>
      <c r="L524" s="261" t="s">
        <v>155</v>
      </c>
      <c r="M524" s="257"/>
      <c r="N524" s="257"/>
      <c r="O524" s="257"/>
    </row>
    <row r="525" spans="1:15" hidden="1">
      <c r="A525" s="267">
        <v>45741</v>
      </c>
      <c r="B525" s="257" t="s">
        <v>2992</v>
      </c>
      <c r="C525" s="263" t="s">
        <v>177</v>
      </c>
      <c r="D525" s="258" t="s">
        <v>442</v>
      </c>
      <c r="E525" s="268">
        <v>15000</v>
      </c>
      <c r="F525" s="259">
        <v>25.877863385583616</v>
      </c>
      <c r="G525" s="260">
        <v>579.64599999999996</v>
      </c>
      <c r="H525" s="261" t="s">
        <v>175</v>
      </c>
      <c r="I525" s="261" t="s">
        <v>1008</v>
      </c>
      <c r="J525" s="261" t="s">
        <v>98</v>
      </c>
      <c r="K525" s="261" t="s">
        <v>1132</v>
      </c>
      <c r="L525" s="261" t="s">
        <v>155</v>
      </c>
      <c r="M525" s="257"/>
      <c r="N525" s="257"/>
      <c r="O525" s="257"/>
    </row>
    <row r="526" spans="1:15" hidden="1">
      <c r="A526" s="267">
        <v>45741</v>
      </c>
      <c r="B526" s="257" t="s">
        <v>2093</v>
      </c>
      <c r="C526" s="257" t="s">
        <v>308</v>
      </c>
      <c r="D526" s="258" t="s">
        <v>442</v>
      </c>
      <c r="E526" s="268">
        <v>10000</v>
      </c>
      <c r="F526" s="259">
        <v>17.251908923722411</v>
      </c>
      <c r="G526" s="260">
        <v>579.64599999999996</v>
      </c>
      <c r="H526" s="261" t="s">
        <v>323</v>
      </c>
      <c r="I526" s="261" t="s">
        <v>1039</v>
      </c>
      <c r="J526" s="261" t="s">
        <v>98</v>
      </c>
      <c r="K526" s="261" t="s">
        <v>1132</v>
      </c>
      <c r="L526" s="261" t="s">
        <v>155</v>
      </c>
      <c r="M526" s="257"/>
      <c r="N526" s="257"/>
      <c r="O526" s="257"/>
    </row>
    <row r="527" spans="1:15" hidden="1">
      <c r="A527" s="267">
        <v>45741</v>
      </c>
      <c r="B527" s="257" t="s">
        <v>811</v>
      </c>
      <c r="C527" s="264" t="s">
        <v>2086</v>
      </c>
      <c r="D527" s="257" t="s">
        <v>118</v>
      </c>
      <c r="E527" s="268">
        <v>11820</v>
      </c>
      <c r="F527" s="259">
        <v>20.391756347839891</v>
      </c>
      <c r="G527" s="260">
        <v>579.64599999999996</v>
      </c>
      <c r="H527" s="261" t="s">
        <v>323</v>
      </c>
      <c r="I527" s="261" t="s">
        <v>871</v>
      </c>
      <c r="J527" s="261" t="s">
        <v>98</v>
      </c>
      <c r="K527" s="261" t="s">
        <v>1132</v>
      </c>
      <c r="L527" s="261" t="s">
        <v>155</v>
      </c>
      <c r="M527" s="257"/>
      <c r="N527" s="257"/>
      <c r="O527" s="257"/>
    </row>
    <row r="528" spans="1:15" hidden="1">
      <c r="A528" s="267">
        <v>45742</v>
      </c>
      <c r="B528" s="257" t="s">
        <v>1069</v>
      </c>
      <c r="C528" s="263" t="s">
        <v>174</v>
      </c>
      <c r="D528" s="258" t="s">
        <v>117</v>
      </c>
      <c r="E528" s="268">
        <v>10000</v>
      </c>
      <c r="F528" s="259">
        <v>17.251908923722411</v>
      </c>
      <c r="G528" s="260">
        <v>579.64599999999996</v>
      </c>
      <c r="H528" s="261" t="s">
        <v>190</v>
      </c>
      <c r="I528" s="261" t="s">
        <v>1070</v>
      </c>
      <c r="J528" s="261" t="s">
        <v>98</v>
      </c>
      <c r="K528" s="261" t="s">
        <v>1132</v>
      </c>
      <c r="L528" s="261" t="s">
        <v>155</v>
      </c>
      <c r="M528" s="257"/>
      <c r="N528" s="257"/>
      <c r="O528" s="257"/>
    </row>
    <row r="529" spans="1:15" hidden="1">
      <c r="A529" s="267">
        <v>45741</v>
      </c>
      <c r="B529" s="257" t="s">
        <v>1071</v>
      </c>
      <c r="C529" s="257" t="s">
        <v>313</v>
      </c>
      <c r="D529" s="258" t="s">
        <v>117</v>
      </c>
      <c r="E529" s="268">
        <v>14000</v>
      </c>
      <c r="F529" s="259">
        <v>24.152672493211377</v>
      </c>
      <c r="G529" s="260">
        <v>579.64599999999996</v>
      </c>
      <c r="H529" s="261" t="s">
        <v>190</v>
      </c>
      <c r="I529" s="261" t="s">
        <v>1072</v>
      </c>
      <c r="J529" s="261" t="s">
        <v>98</v>
      </c>
      <c r="K529" s="261" t="s">
        <v>1132</v>
      </c>
      <c r="L529" s="261" t="s">
        <v>155</v>
      </c>
      <c r="M529" s="257"/>
      <c r="N529" s="257"/>
      <c r="O529" s="257"/>
    </row>
    <row r="530" spans="1:15" hidden="1">
      <c r="A530" s="267">
        <v>45740</v>
      </c>
      <c r="B530" s="257" t="s">
        <v>1073</v>
      </c>
      <c r="C530" s="263" t="s">
        <v>177</v>
      </c>
      <c r="D530" s="258" t="s">
        <v>117</v>
      </c>
      <c r="E530" s="268">
        <v>135000</v>
      </c>
      <c r="F530" s="259">
        <v>232.90077047025255</v>
      </c>
      <c r="G530" s="269">
        <v>579.64599999999996</v>
      </c>
      <c r="H530" s="261" t="s">
        <v>190</v>
      </c>
      <c r="I530" s="261" t="s">
        <v>1074</v>
      </c>
      <c r="J530" s="261" t="s">
        <v>98</v>
      </c>
      <c r="K530" s="265" t="s">
        <v>202</v>
      </c>
      <c r="L530" s="261" t="s">
        <v>155</v>
      </c>
      <c r="M530" s="257"/>
      <c r="N530" s="257"/>
      <c r="O530" s="257"/>
    </row>
    <row r="531" spans="1:15" hidden="1">
      <c r="A531" s="267">
        <v>45741</v>
      </c>
      <c r="B531" s="257" t="s">
        <v>817</v>
      </c>
      <c r="C531" s="263" t="s">
        <v>1163</v>
      </c>
      <c r="D531" s="257" t="s">
        <v>118</v>
      </c>
      <c r="E531" s="268">
        <v>25000</v>
      </c>
      <c r="F531" s="259">
        <v>43.129772309306027</v>
      </c>
      <c r="G531" s="269">
        <v>579.64599999999996</v>
      </c>
      <c r="H531" s="261" t="s">
        <v>193</v>
      </c>
      <c r="I531" s="261" t="s">
        <v>872</v>
      </c>
      <c r="J531" s="261" t="s">
        <v>98</v>
      </c>
      <c r="K531" s="265" t="s">
        <v>202</v>
      </c>
      <c r="L531" s="261" t="s">
        <v>155</v>
      </c>
      <c r="M531" s="257"/>
      <c r="N531" s="257"/>
      <c r="O531" s="257"/>
    </row>
    <row r="532" spans="1:15" hidden="1">
      <c r="A532" s="267">
        <v>45741</v>
      </c>
      <c r="B532" s="257" t="s">
        <v>918</v>
      </c>
      <c r="C532" s="257" t="s">
        <v>127</v>
      </c>
      <c r="D532" s="257" t="s">
        <v>119</v>
      </c>
      <c r="E532" s="268">
        <v>1311000</v>
      </c>
      <c r="F532" s="259">
        <v>2261.725259900008</v>
      </c>
      <c r="G532" s="269">
        <v>579.64599999999996</v>
      </c>
      <c r="H532" s="261" t="s">
        <v>148</v>
      </c>
      <c r="I532" s="261" t="s">
        <v>957</v>
      </c>
      <c r="J532" s="261" t="s">
        <v>98</v>
      </c>
      <c r="K532" s="265" t="s">
        <v>202</v>
      </c>
      <c r="L532" s="261" t="s">
        <v>155</v>
      </c>
      <c r="M532" s="257"/>
      <c r="N532" s="257"/>
      <c r="O532" s="257"/>
    </row>
    <row r="533" spans="1:15" hidden="1">
      <c r="A533" s="267">
        <v>45741</v>
      </c>
      <c r="B533" s="257" t="s">
        <v>919</v>
      </c>
      <c r="C533" s="257" t="s">
        <v>127</v>
      </c>
      <c r="D533" s="257" t="s">
        <v>118</v>
      </c>
      <c r="E533" s="268">
        <v>230000</v>
      </c>
      <c r="F533" s="259">
        <v>396.79390524561546</v>
      </c>
      <c r="G533" s="269">
        <v>579.64599999999996</v>
      </c>
      <c r="H533" s="261" t="s">
        <v>148</v>
      </c>
      <c r="I533" s="261" t="s">
        <v>958</v>
      </c>
      <c r="J533" s="261" t="s">
        <v>98</v>
      </c>
      <c r="K533" s="265" t="s">
        <v>202</v>
      </c>
      <c r="L533" s="261" t="s">
        <v>155</v>
      </c>
      <c r="M533" s="257"/>
      <c r="N533" s="257"/>
      <c r="O533" s="257"/>
    </row>
    <row r="534" spans="1:15" hidden="1">
      <c r="A534" s="267">
        <v>45741</v>
      </c>
      <c r="B534" s="257" t="s">
        <v>920</v>
      </c>
      <c r="C534" s="257" t="s">
        <v>127</v>
      </c>
      <c r="D534" s="258" t="s">
        <v>117</v>
      </c>
      <c r="E534" s="268">
        <v>200000</v>
      </c>
      <c r="F534" s="259">
        <v>345.03817847444822</v>
      </c>
      <c r="G534" s="269">
        <v>579.64599999999996</v>
      </c>
      <c r="H534" s="261" t="s">
        <v>148</v>
      </c>
      <c r="I534" s="261" t="s">
        <v>959</v>
      </c>
      <c r="J534" s="261" t="s">
        <v>98</v>
      </c>
      <c r="K534" s="265" t="s">
        <v>202</v>
      </c>
      <c r="L534" s="261" t="s">
        <v>155</v>
      </c>
      <c r="M534" s="257"/>
      <c r="N534" s="257"/>
      <c r="O534" s="257"/>
    </row>
    <row r="535" spans="1:15" hidden="1">
      <c r="A535" s="267">
        <v>45741</v>
      </c>
      <c r="B535" s="257" t="s">
        <v>921</v>
      </c>
      <c r="C535" s="257" t="s">
        <v>127</v>
      </c>
      <c r="D535" s="258" t="s">
        <v>117</v>
      </c>
      <c r="E535" s="268">
        <v>200000</v>
      </c>
      <c r="F535" s="259">
        <v>345.03817847444822</v>
      </c>
      <c r="G535" s="269">
        <v>579.64599999999996</v>
      </c>
      <c r="H535" s="261" t="s">
        <v>148</v>
      </c>
      <c r="I535" s="261" t="s">
        <v>960</v>
      </c>
      <c r="J535" s="261" t="s">
        <v>98</v>
      </c>
      <c r="K535" s="265" t="s">
        <v>202</v>
      </c>
      <c r="L535" s="261" t="s">
        <v>155</v>
      </c>
      <c r="M535" s="257"/>
      <c r="N535" s="257"/>
      <c r="O535" s="257"/>
    </row>
    <row r="536" spans="1:15" hidden="1">
      <c r="A536" s="267">
        <v>45741</v>
      </c>
      <c r="B536" s="257" t="s">
        <v>922</v>
      </c>
      <c r="C536" s="257" t="s">
        <v>127</v>
      </c>
      <c r="D536" s="258" t="s">
        <v>117</v>
      </c>
      <c r="E536" s="268">
        <v>200000</v>
      </c>
      <c r="F536" s="259">
        <v>345.03817847444822</v>
      </c>
      <c r="G536" s="269">
        <v>579.64599999999996</v>
      </c>
      <c r="H536" s="261" t="s">
        <v>148</v>
      </c>
      <c r="I536" s="261" t="s">
        <v>961</v>
      </c>
      <c r="J536" s="261" t="s">
        <v>98</v>
      </c>
      <c r="K536" s="265" t="s">
        <v>202</v>
      </c>
      <c r="L536" s="261" t="s">
        <v>155</v>
      </c>
      <c r="M536" s="257"/>
      <c r="N536" s="257"/>
      <c r="O536" s="257"/>
    </row>
    <row r="537" spans="1:15" hidden="1">
      <c r="A537" s="267">
        <v>45741</v>
      </c>
      <c r="B537" s="257" t="s">
        <v>923</v>
      </c>
      <c r="C537" s="257" t="s">
        <v>127</v>
      </c>
      <c r="D537" s="258" t="s">
        <v>117</v>
      </c>
      <c r="E537" s="268">
        <v>551482</v>
      </c>
      <c r="F537" s="259">
        <v>951.41172370722825</v>
      </c>
      <c r="G537" s="269">
        <v>579.64599999999996</v>
      </c>
      <c r="H537" s="261" t="s">
        <v>148</v>
      </c>
      <c r="I537" s="261" t="s">
        <v>962</v>
      </c>
      <c r="J537" s="261" t="s">
        <v>98</v>
      </c>
      <c r="K537" s="265" t="s">
        <v>202</v>
      </c>
      <c r="L537" s="261" t="s">
        <v>155</v>
      </c>
      <c r="M537" s="257"/>
      <c r="N537" s="257"/>
      <c r="O537" s="257"/>
    </row>
    <row r="538" spans="1:15" hidden="1">
      <c r="A538" s="267">
        <v>45741</v>
      </c>
      <c r="B538" s="257" t="s">
        <v>924</v>
      </c>
      <c r="C538" s="257" t="s">
        <v>127</v>
      </c>
      <c r="D538" s="257" t="s">
        <v>120</v>
      </c>
      <c r="E538" s="268">
        <v>238140</v>
      </c>
      <c r="F538" s="259">
        <v>410.83695910952548</v>
      </c>
      <c r="G538" s="269">
        <v>579.64599999999996</v>
      </c>
      <c r="H538" s="261" t="s">
        <v>148</v>
      </c>
      <c r="I538" s="261" t="s">
        <v>963</v>
      </c>
      <c r="J538" s="261" t="s">
        <v>98</v>
      </c>
      <c r="K538" s="265" t="s">
        <v>202</v>
      </c>
      <c r="L538" s="261" t="s">
        <v>155</v>
      </c>
      <c r="M538" s="257"/>
      <c r="N538" s="257"/>
      <c r="O538" s="257"/>
    </row>
    <row r="539" spans="1:15" hidden="1">
      <c r="A539" s="267">
        <v>45741</v>
      </c>
      <c r="B539" s="257" t="s">
        <v>925</v>
      </c>
      <c r="C539" s="257" t="s">
        <v>127</v>
      </c>
      <c r="D539" s="258" t="s">
        <v>117</v>
      </c>
      <c r="E539" s="268">
        <v>193548</v>
      </c>
      <c r="F539" s="259">
        <v>333.9072468368625</v>
      </c>
      <c r="G539" s="269">
        <v>579.64599999999996</v>
      </c>
      <c r="H539" s="261" t="s">
        <v>148</v>
      </c>
      <c r="I539" s="261" t="s">
        <v>1125</v>
      </c>
      <c r="J539" s="261" t="s">
        <v>98</v>
      </c>
      <c r="K539" s="265" t="s">
        <v>202</v>
      </c>
      <c r="L539" s="261" t="s">
        <v>155</v>
      </c>
      <c r="M539" s="257"/>
      <c r="N539" s="257"/>
      <c r="O539" s="257"/>
    </row>
    <row r="540" spans="1:15" hidden="1">
      <c r="A540" s="267">
        <v>45742</v>
      </c>
      <c r="B540" s="257" t="s">
        <v>617</v>
      </c>
      <c r="C540" s="257" t="s">
        <v>304</v>
      </c>
      <c r="D540" s="257" t="s">
        <v>118</v>
      </c>
      <c r="E540" s="268">
        <v>20000</v>
      </c>
      <c r="F540" s="259">
        <v>34.503817847444822</v>
      </c>
      <c r="G540" s="269">
        <v>579.64599999999996</v>
      </c>
      <c r="H540" s="261" t="s">
        <v>583</v>
      </c>
      <c r="I540" s="261" t="s">
        <v>873</v>
      </c>
      <c r="J540" s="261" t="s">
        <v>98</v>
      </c>
      <c r="K540" s="265" t="s">
        <v>202</v>
      </c>
      <c r="L540" s="261" t="s">
        <v>155</v>
      </c>
      <c r="M540" s="257"/>
      <c r="N540" s="257"/>
      <c r="O540" s="257"/>
    </row>
    <row r="541" spans="1:15" hidden="1">
      <c r="A541" s="267">
        <v>45742</v>
      </c>
      <c r="B541" s="257" t="s">
        <v>3216</v>
      </c>
      <c r="C541" s="263" t="s">
        <v>177</v>
      </c>
      <c r="D541" s="258" t="s">
        <v>442</v>
      </c>
      <c r="E541" s="268">
        <v>75000</v>
      </c>
      <c r="F541" s="259">
        <v>129.38931692791809</v>
      </c>
      <c r="G541" s="269">
        <v>579.64599999999996</v>
      </c>
      <c r="H541" s="261" t="s">
        <v>317</v>
      </c>
      <c r="I541" s="261" t="s">
        <v>1025</v>
      </c>
      <c r="J541" s="261" t="s">
        <v>98</v>
      </c>
      <c r="K541" s="265" t="s">
        <v>202</v>
      </c>
      <c r="L541" s="261" t="s">
        <v>155</v>
      </c>
      <c r="M541" s="257"/>
      <c r="N541" s="257"/>
      <c r="O541" s="257"/>
    </row>
    <row r="542" spans="1:15" hidden="1">
      <c r="A542" s="267">
        <v>45742</v>
      </c>
      <c r="B542" s="257" t="s">
        <v>3066</v>
      </c>
      <c r="C542" s="263" t="s">
        <v>174</v>
      </c>
      <c r="D542" s="258" t="s">
        <v>442</v>
      </c>
      <c r="E542" s="268">
        <v>3000</v>
      </c>
      <c r="F542" s="259">
        <v>5.1755726771167234</v>
      </c>
      <c r="G542" s="260">
        <v>579.64599999999996</v>
      </c>
      <c r="H542" s="261" t="s">
        <v>317</v>
      </c>
      <c r="I542" s="261" t="s">
        <v>1026</v>
      </c>
      <c r="J542" s="261" t="s">
        <v>98</v>
      </c>
      <c r="K542" s="261" t="s">
        <v>1132</v>
      </c>
      <c r="L542" s="261" t="s">
        <v>155</v>
      </c>
      <c r="M542" s="257"/>
      <c r="N542" s="257"/>
      <c r="O542" s="257"/>
    </row>
    <row r="543" spans="1:15" hidden="1">
      <c r="A543" s="267">
        <v>45742</v>
      </c>
      <c r="B543" s="257" t="s">
        <v>1102</v>
      </c>
      <c r="C543" s="263" t="s">
        <v>177</v>
      </c>
      <c r="D543" s="257" t="s">
        <v>2087</v>
      </c>
      <c r="E543" s="268">
        <v>135000</v>
      </c>
      <c r="F543" s="259">
        <v>232.90077047025255</v>
      </c>
      <c r="G543" s="260">
        <v>579.64599999999996</v>
      </c>
      <c r="H543" s="261" t="s">
        <v>213</v>
      </c>
      <c r="I543" s="261" t="s">
        <v>1103</v>
      </c>
      <c r="J543" s="261" t="s">
        <v>98</v>
      </c>
      <c r="K543" s="261" t="s">
        <v>1132</v>
      </c>
      <c r="L543" s="261" t="s">
        <v>155</v>
      </c>
      <c r="M543" s="257"/>
      <c r="N543" s="257"/>
      <c r="O543" s="257"/>
    </row>
    <row r="544" spans="1:15" hidden="1">
      <c r="A544" s="267">
        <v>45742</v>
      </c>
      <c r="B544" s="257" t="s">
        <v>1104</v>
      </c>
      <c r="C544" s="263" t="s">
        <v>174</v>
      </c>
      <c r="D544" s="257" t="s">
        <v>2087</v>
      </c>
      <c r="E544" s="268">
        <v>10000</v>
      </c>
      <c r="F544" s="259">
        <v>17.251908923722411</v>
      </c>
      <c r="G544" s="260">
        <v>579.64599999999996</v>
      </c>
      <c r="H544" s="261" t="s">
        <v>213</v>
      </c>
      <c r="I544" s="261" t="s">
        <v>1105</v>
      </c>
      <c r="J544" s="261" t="s">
        <v>98</v>
      </c>
      <c r="K544" s="261" t="s">
        <v>1132</v>
      </c>
      <c r="L544" s="261" t="s">
        <v>155</v>
      </c>
      <c r="M544" s="257"/>
      <c r="N544" s="257"/>
      <c r="O544" s="257"/>
    </row>
    <row r="545" spans="1:15" hidden="1">
      <c r="A545" s="267">
        <v>45742</v>
      </c>
      <c r="B545" s="257" t="s">
        <v>818</v>
      </c>
      <c r="C545" s="263" t="s">
        <v>2088</v>
      </c>
      <c r="D545" s="257" t="s">
        <v>120</v>
      </c>
      <c r="E545" s="268">
        <v>200000</v>
      </c>
      <c r="F545" s="259">
        <v>345.03817847444822</v>
      </c>
      <c r="G545" s="269">
        <v>579.64599999999996</v>
      </c>
      <c r="H545" s="261" t="s">
        <v>213</v>
      </c>
      <c r="I545" s="261" t="s">
        <v>892</v>
      </c>
      <c r="J545" s="261" t="s">
        <v>98</v>
      </c>
      <c r="K545" s="265" t="s">
        <v>202</v>
      </c>
      <c r="L545" s="261" t="s">
        <v>155</v>
      </c>
      <c r="M545" s="257"/>
      <c r="N545" s="257"/>
      <c r="O545" s="257"/>
    </row>
    <row r="546" spans="1:15" hidden="1">
      <c r="A546" s="267">
        <v>45742</v>
      </c>
      <c r="B546" s="257" t="s">
        <v>926</v>
      </c>
      <c r="C546" s="257" t="s">
        <v>128</v>
      </c>
      <c r="D546" s="257" t="s">
        <v>118</v>
      </c>
      <c r="E546" s="268">
        <v>52635</v>
      </c>
      <c r="F546" s="259">
        <v>90.805422620012905</v>
      </c>
      <c r="G546" s="260">
        <v>579.64599999999996</v>
      </c>
      <c r="H546" s="261" t="s">
        <v>148</v>
      </c>
      <c r="I546" s="261" t="s">
        <v>1126</v>
      </c>
      <c r="J546" s="261" t="s">
        <v>98</v>
      </c>
      <c r="K546" s="261" t="s">
        <v>1132</v>
      </c>
      <c r="L546" s="261" t="s">
        <v>155</v>
      </c>
      <c r="M546" s="257"/>
      <c r="N546" s="257"/>
      <c r="O546" s="257"/>
    </row>
    <row r="547" spans="1:15" hidden="1">
      <c r="A547" s="267">
        <v>45743</v>
      </c>
      <c r="B547" s="257" t="s">
        <v>2992</v>
      </c>
      <c r="C547" s="263" t="s">
        <v>177</v>
      </c>
      <c r="D547" s="258" t="s">
        <v>442</v>
      </c>
      <c r="E547" s="268">
        <v>30000</v>
      </c>
      <c r="F547" s="259">
        <v>51.755726771167232</v>
      </c>
      <c r="G547" s="260">
        <v>579.64599999999996</v>
      </c>
      <c r="H547" s="261" t="s">
        <v>175</v>
      </c>
      <c r="I547" s="261" t="s">
        <v>1009</v>
      </c>
      <c r="J547" s="261" t="s">
        <v>98</v>
      </c>
      <c r="K547" s="261" t="s">
        <v>1132</v>
      </c>
      <c r="L547" s="261" t="s">
        <v>155</v>
      </c>
      <c r="M547" s="257"/>
      <c r="N547" s="257"/>
      <c r="O547" s="257"/>
    </row>
    <row r="548" spans="1:15" hidden="1">
      <c r="A548" s="267">
        <v>45743</v>
      </c>
      <c r="B548" s="257" t="s">
        <v>3217</v>
      </c>
      <c r="C548" s="263" t="s">
        <v>174</v>
      </c>
      <c r="D548" s="258" t="s">
        <v>442</v>
      </c>
      <c r="E548" s="268">
        <v>15000</v>
      </c>
      <c r="F548" s="259">
        <v>25.877863385583616</v>
      </c>
      <c r="G548" s="260">
        <v>579.64599999999996</v>
      </c>
      <c r="H548" s="261" t="s">
        <v>175</v>
      </c>
      <c r="I548" s="261" t="s">
        <v>1010</v>
      </c>
      <c r="J548" s="261" t="s">
        <v>98</v>
      </c>
      <c r="K548" s="261" t="s">
        <v>1132</v>
      </c>
      <c r="L548" s="261" t="s">
        <v>155</v>
      </c>
      <c r="M548" s="257"/>
      <c r="N548" s="257"/>
      <c r="O548" s="257"/>
    </row>
    <row r="549" spans="1:15" hidden="1">
      <c r="A549" s="267">
        <v>45743</v>
      </c>
      <c r="B549" s="257" t="s">
        <v>1011</v>
      </c>
      <c r="C549" s="263" t="s">
        <v>365</v>
      </c>
      <c r="D549" s="258" t="s">
        <v>442</v>
      </c>
      <c r="E549" s="268">
        <v>18000</v>
      </c>
      <c r="F549" s="259">
        <v>31.053436062700339</v>
      </c>
      <c r="G549" s="260">
        <v>579.64599999999996</v>
      </c>
      <c r="H549" s="261" t="s">
        <v>175</v>
      </c>
      <c r="I549" s="261" t="s">
        <v>1012</v>
      </c>
      <c r="J549" s="261" t="s">
        <v>98</v>
      </c>
      <c r="K549" s="261" t="s">
        <v>1132</v>
      </c>
      <c r="L549" s="261" t="s">
        <v>155</v>
      </c>
      <c r="M549" s="257"/>
      <c r="N549" s="257"/>
      <c r="O549" s="257"/>
    </row>
    <row r="550" spans="1:15" hidden="1">
      <c r="A550" s="267">
        <v>45743</v>
      </c>
      <c r="B550" s="257" t="s">
        <v>1049</v>
      </c>
      <c r="C550" s="263" t="s">
        <v>174</v>
      </c>
      <c r="D550" s="258" t="s">
        <v>117</v>
      </c>
      <c r="E550" s="268">
        <v>8000</v>
      </c>
      <c r="F550" s="259">
        <v>13.80152713897793</v>
      </c>
      <c r="G550" s="260">
        <v>579.64599999999996</v>
      </c>
      <c r="H550" s="261" t="s">
        <v>187</v>
      </c>
      <c r="I550" s="261" t="s">
        <v>1050</v>
      </c>
      <c r="J550" s="261" t="s">
        <v>98</v>
      </c>
      <c r="K550" s="261" t="s">
        <v>1132</v>
      </c>
      <c r="L550" s="261" t="s">
        <v>155</v>
      </c>
      <c r="M550" s="257"/>
      <c r="N550" s="257"/>
      <c r="O550" s="257"/>
    </row>
    <row r="551" spans="1:15" hidden="1">
      <c r="A551" s="267">
        <v>45743</v>
      </c>
      <c r="B551" s="257" t="s">
        <v>1092</v>
      </c>
      <c r="C551" s="263" t="s">
        <v>1163</v>
      </c>
      <c r="D551" s="257" t="s">
        <v>2087</v>
      </c>
      <c r="E551" s="268">
        <v>28400</v>
      </c>
      <c r="F551" s="259">
        <v>48.995421343371646</v>
      </c>
      <c r="G551" s="260">
        <v>579.64599999999996</v>
      </c>
      <c r="H551" s="261" t="s">
        <v>437</v>
      </c>
      <c r="I551" s="261" t="s">
        <v>1093</v>
      </c>
      <c r="J551" s="261" t="s">
        <v>98</v>
      </c>
      <c r="K551" s="261" t="s">
        <v>1132</v>
      </c>
      <c r="L551" s="261" t="s">
        <v>155</v>
      </c>
      <c r="M551" s="257"/>
      <c r="N551" s="257"/>
      <c r="O551" s="257"/>
    </row>
    <row r="552" spans="1:15" hidden="1">
      <c r="A552" s="267">
        <v>45744</v>
      </c>
      <c r="B552" s="257" t="s">
        <v>819</v>
      </c>
      <c r="C552" s="257" t="s">
        <v>304</v>
      </c>
      <c r="D552" s="257" t="s">
        <v>118</v>
      </c>
      <c r="E552" s="268">
        <v>8000</v>
      </c>
      <c r="F552" s="259">
        <v>13.80152713897793</v>
      </c>
      <c r="G552" s="260">
        <v>579.64599999999996</v>
      </c>
      <c r="H552" s="261" t="s">
        <v>583</v>
      </c>
      <c r="I552" s="261" t="s">
        <v>874</v>
      </c>
      <c r="J552" s="261" t="s">
        <v>98</v>
      </c>
      <c r="K552" s="261" t="s">
        <v>1132</v>
      </c>
      <c r="L552" s="261" t="s">
        <v>155</v>
      </c>
      <c r="M552" s="257"/>
      <c r="N552" s="257"/>
      <c r="O552" s="257"/>
    </row>
    <row r="553" spans="1:15" hidden="1">
      <c r="A553" s="267">
        <v>45744</v>
      </c>
      <c r="B553" s="257" t="s">
        <v>821</v>
      </c>
      <c r="C553" s="257" t="s">
        <v>304</v>
      </c>
      <c r="D553" s="257" t="s">
        <v>118</v>
      </c>
      <c r="E553" s="268">
        <v>75625</v>
      </c>
      <c r="F553" s="259">
        <v>130.46756123565072</v>
      </c>
      <c r="G553" s="260">
        <v>579.64599999999996</v>
      </c>
      <c r="H553" s="261" t="s">
        <v>583</v>
      </c>
      <c r="I553" s="261" t="s">
        <v>876</v>
      </c>
      <c r="J553" s="261" t="s">
        <v>98</v>
      </c>
      <c r="K553" s="261" t="s">
        <v>1132</v>
      </c>
      <c r="L553" s="261" t="s">
        <v>155</v>
      </c>
      <c r="M553" s="257"/>
      <c r="N553" s="257"/>
      <c r="O553" s="257"/>
    </row>
    <row r="554" spans="1:15" hidden="1">
      <c r="A554" s="267">
        <v>45744</v>
      </c>
      <c r="B554" s="257" t="s">
        <v>2992</v>
      </c>
      <c r="C554" s="263" t="s">
        <v>177</v>
      </c>
      <c r="D554" s="258" t="s">
        <v>442</v>
      </c>
      <c r="E554" s="268">
        <v>15000</v>
      </c>
      <c r="F554" s="259">
        <v>25.877863385583616</v>
      </c>
      <c r="G554" s="260">
        <v>579.64599999999996</v>
      </c>
      <c r="H554" s="261" t="s">
        <v>175</v>
      </c>
      <c r="I554" s="261" t="s">
        <v>1013</v>
      </c>
      <c r="J554" s="261" t="s">
        <v>98</v>
      </c>
      <c r="K554" s="261" t="s">
        <v>1132</v>
      </c>
      <c r="L554" s="261" t="s">
        <v>155</v>
      </c>
      <c r="M554" s="257"/>
      <c r="N554" s="257"/>
      <c r="O554" s="257"/>
    </row>
    <row r="555" spans="1:15" hidden="1">
      <c r="A555" s="267">
        <v>45744</v>
      </c>
      <c r="B555" s="257" t="s">
        <v>3218</v>
      </c>
      <c r="C555" s="263" t="s">
        <v>174</v>
      </c>
      <c r="D555" s="258" t="s">
        <v>442</v>
      </c>
      <c r="E555" s="268">
        <v>7000</v>
      </c>
      <c r="F555" s="259">
        <v>12.076336246605688</v>
      </c>
      <c r="G555" s="269">
        <v>579.64599999999996</v>
      </c>
      <c r="H555" s="261" t="s">
        <v>175</v>
      </c>
      <c r="I555" s="261" t="s">
        <v>1014</v>
      </c>
      <c r="J555" s="261" t="s">
        <v>98</v>
      </c>
      <c r="K555" s="265" t="s">
        <v>202</v>
      </c>
      <c r="L555" s="261" t="s">
        <v>155</v>
      </c>
      <c r="M555" s="257"/>
      <c r="N555" s="257"/>
      <c r="O555" s="257"/>
    </row>
    <row r="556" spans="1:15" hidden="1">
      <c r="A556" s="267">
        <v>45744</v>
      </c>
      <c r="B556" s="257" t="s">
        <v>3179</v>
      </c>
      <c r="C556" s="263" t="s">
        <v>177</v>
      </c>
      <c r="D556" s="258" t="s">
        <v>442</v>
      </c>
      <c r="E556" s="268">
        <v>30000</v>
      </c>
      <c r="F556" s="259">
        <v>51.755726771167232</v>
      </c>
      <c r="G556" s="269">
        <v>579.64599999999996</v>
      </c>
      <c r="H556" s="261" t="s">
        <v>317</v>
      </c>
      <c r="I556" s="261" t="s">
        <v>1027</v>
      </c>
      <c r="J556" s="261" t="s">
        <v>98</v>
      </c>
      <c r="K556" s="265" t="s">
        <v>202</v>
      </c>
      <c r="L556" s="261" t="s">
        <v>155</v>
      </c>
      <c r="M556" s="257"/>
      <c r="N556" s="257"/>
      <c r="O556" s="257"/>
    </row>
    <row r="557" spans="1:15" hidden="1">
      <c r="A557" s="267">
        <v>45744</v>
      </c>
      <c r="B557" s="257" t="s">
        <v>3066</v>
      </c>
      <c r="C557" s="263" t="s">
        <v>174</v>
      </c>
      <c r="D557" s="258" t="s">
        <v>442</v>
      </c>
      <c r="E557" s="268">
        <v>7000</v>
      </c>
      <c r="F557" s="259">
        <v>12.076336246605688</v>
      </c>
      <c r="G557" s="269">
        <v>579.64599999999996</v>
      </c>
      <c r="H557" s="261" t="s">
        <v>317</v>
      </c>
      <c r="I557" s="261" t="s">
        <v>1028</v>
      </c>
      <c r="J557" s="261" t="s">
        <v>98</v>
      </c>
      <c r="K557" s="265" t="s">
        <v>202</v>
      </c>
      <c r="L557" s="261" t="s">
        <v>155</v>
      </c>
      <c r="M557" s="257"/>
      <c r="N557" s="257"/>
      <c r="O557" s="257"/>
    </row>
    <row r="558" spans="1:15" hidden="1">
      <c r="A558" s="267">
        <v>45744</v>
      </c>
      <c r="B558" s="257" t="s">
        <v>1051</v>
      </c>
      <c r="C558" s="257" t="s">
        <v>313</v>
      </c>
      <c r="D558" s="258" t="s">
        <v>117</v>
      </c>
      <c r="E558" s="268">
        <v>41500</v>
      </c>
      <c r="F558" s="259">
        <v>71.595422033448003</v>
      </c>
      <c r="G558" s="269">
        <v>579.64599999999996</v>
      </c>
      <c r="H558" s="261" t="s">
        <v>187</v>
      </c>
      <c r="I558" s="261" t="s">
        <v>1052</v>
      </c>
      <c r="J558" s="261" t="s">
        <v>98</v>
      </c>
      <c r="K558" s="265" t="s">
        <v>202</v>
      </c>
      <c r="L558" s="261" t="s">
        <v>155</v>
      </c>
      <c r="M558" s="257"/>
      <c r="N558" s="257"/>
      <c r="O558" s="257"/>
    </row>
    <row r="559" spans="1:15" hidden="1">
      <c r="A559" s="267">
        <v>45744</v>
      </c>
      <c r="B559" s="257" t="s">
        <v>1075</v>
      </c>
      <c r="C559" s="263" t="s">
        <v>174</v>
      </c>
      <c r="D559" s="258" t="s">
        <v>117</v>
      </c>
      <c r="E559" s="268">
        <v>35500</v>
      </c>
      <c r="F559" s="259">
        <v>61.244276679214558</v>
      </c>
      <c r="G559" s="269">
        <v>579.64599999999996</v>
      </c>
      <c r="H559" s="261" t="s">
        <v>190</v>
      </c>
      <c r="I559" s="261" t="s">
        <v>1076</v>
      </c>
      <c r="J559" s="261" t="s">
        <v>98</v>
      </c>
      <c r="K559" s="265" t="s">
        <v>202</v>
      </c>
      <c r="L559" s="261" t="s">
        <v>155</v>
      </c>
      <c r="M559" s="257"/>
      <c r="N559" s="257"/>
      <c r="O559" s="257"/>
    </row>
    <row r="560" spans="1:15" hidden="1">
      <c r="A560" s="267">
        <v>45744</v>
      </c>
      <c r="B560" s="257" t="s">
        <v>820</v>
      </c>
      <c r="C560" s="264" t="s">
        <v>2086</v>
      </c>
      <c r="D560" s="257" t="s">
        <v>118</v>
      </c>
      <c r="E560" s="268">
        <v>8825</v>
      </c>
      <c r="F560" s="259">
        <v>15.224809625185028</v>
      </c>
      <c r="G560" s="269">
        <v>579.64599999999996</v>
      </c>
      <c r="H560" s="261" t="s">
        <v>190</v>
      </c>
      <c r="I560" s="261" t="s">
        <v>875</v>
      </c>
      <c r="J560" s="261" t="s">
        <v>98</v>
      </c>
      <c r="K560" s="265" t="s">
        <v>202</v>
      </c>
      <c r="L560" s="261" t="s">
        <v>155</v>
      </c>
      <c r="M560" s="257"/>
      <c r="N560" s="257"/>
      <c r="O560" s="257"/>
    </row>
    <row r="561" spans="1:15" hidden="1">
      <c r="A561" s="267">
        <v>45744</v>
      </c>
      <c r="B561" s="257" t="s">
        <v>1094</v>
      </c>
      <c r="C561" s="257" t="s">
        <v>313</v>
      </c>
      <c r="D561" s="258" t="s">
        <v>117</v>
      </c>
      <c r="E561" s="268">
        <v>4000</v>
      </c>
      <c r="F561" s="259">
        <v>6.9007635694889649</v>
      </c>
      <c r="G561" s="269">
        <v>579.64599999999996</v>
      </c>
      <c r="H561" s="261" t="s">
        <v>437</v>
      </c>
      <c r="I561" s="261" t="s">
        <v>1095</v>
      </c>
      <c r="J561" s="261" t="s">
        <v>98</v>
      </c>
      <c r="K561" s="265" t="s">
        <v>202</v>
      </c>
      <c r="L561" s="261" t="s">
        <v>155</v>
      </c>
      <c r="M561" s="257"/>
      <c r="N561" s="257"/>
      <c r="O561" s="257"/>
    </row>
    <row r="562" spans="1:15" hidden="1">
      <c r="A562" s="267">
        <v>45744</v>
      </c>
      <c r="B562" s="257" t="s">
        <v>1157</v>
      </c>
      <c r="C562" s="263" t="s">
        <v>174</v>
      </c>
      <c r="D562" s="257" t="s">
        <v>120</v>
      </c>
      <c r="E562" s="268">
        <v>43650</v>
      </c>
      <c r="F562" s="259">
        <v>75.304582452048322</v>
      </c>
      <c r="G562" s="269">
        <v>579.64599999999996</v>
      </c>
      <c r="H562" s="261" t="s">
        <v>213</v>
      </c>
      <c r="I562" s="261" t="s">
        <v>1106</v>
      </c>
      <c r="J562" s="261" t="s">
        <v>98</v>
      </c>
      <c r="K562" s="265" t="s">
        <v>202</v>
      </c>
      <c r="L562" s="261" t="s">
        <v>155</v>
      </c>
      <c r="M562" s="257"/>
      <c r="N562" s="257"/>
      <c r="O562" s="257"/>
    </row>
    <row r="563" spans="1:15" hidden="1">
      <c r="A563" s="267">
        <v>45744</v>
      </c>
      <c r="B563" s="257" t="s">
        <v>818</v>
      </c>
      <c r="C563" s="263" t="s">
        <v>2088</v>
      </c>
      <c r="D563" s="257" t="s">
        <v>120</v>
      </c>
      <c r="E563" s="268">
        <v>154000</v>
      </c>
      <c r="F563" s="259">
        <v>265.67939742532513</v>
      </c>
      <c r="G563" s="269">
        <v>579.64599999999996</v>
      </c>
      <c r="H563" s="261" t="s">
        <v>213</v>
      </c>
      <c r="I563" s="261" t="s">
        <v>893</v>
      </c>
      <c r="J563" s="261" t="s">
        <v>98</v>
      </c>
      <c r="K563" s="265" t="s">
        <v>202</v>
      </c>
      <c r="L563" s="261" t="s">
        <v>155</v>
      </c>
      <c r="M563" s="257"/>
      <c r="N563" s="257"/>
      <c r="O563" s="257"/>
    </row>
    <row r="564" spans="1:15" hidden="1">
      <c r="A564" s="267">
        <v>45744</v>
      </c>
      <c r="B564" s="257" t="s">
        <v>927</v>
      </c>
      <c r="C564" s="257" t="s">
        <v>127</v>
      </c>
      <c r="D564" s="258" t="s">
        <v>442</v>
      </c>
      <c r="E564" s="268">
        <v>500000</v>
      </c>
      <c r="F564" s="259">
        <v>862.59544618612051</v>
      </c>
      <c r="G564" s="269">
        <v>579.64599999999996</v>
      </c>
      <c r="H564" s="261" t="s">
        <v>148</v>
      </c>
      <c r="I564" s="261" t="s">
        <v>1127</v>
      </c>
      <c r="J564" s="261" t="s">
        <v>98</v>
      </c>
      <c r="K564" s="265" t="s">
        <v>202</v>
      </c>
      <c r="L564" s="261" t="s">
        <v>155</v>
      </c>
      <c r="M564" s="257"/>
      <c r="N564" s="257"/>
      <c r="O564" s="257"/>
    </row>
    <row r="565" spans="1:15" hidden="1">
      <c r="A565" s="267">
        <v>45744</v>
      </c>
      <c r="B565" s="257" t="s">
        <v>928</v>
      </c>
      <c r="C565" s="257" t="s">
        <v>127</v>
      </c>
      <c r="D565" s="258" t="s">
        <v>442</v>
      </c>
      <c r="E565" s="268">
        <v>375000</v>
      </c>
      <c r="F565" s="259">
        <v>646.94658463959047</v>
      </c>
      <c r="G565" s="269">
        <v>579.64599999999996</v>
      </c>
      <c r="H565" s="261" t="s">
        <v>148</v>
      </c>
      <c r="I565" s="261" t="s">
        <v>1128</v>
      </c>
      <c r="J565" s="261" t="s">
        <v>98</v>
      </c>
      <c r="K565" s="265" t="s">
        <v>202</v>
      </c>
      <c r="L565" s="261" t="s">
        <v>155</v>
      </c>
      <c r="M565" s="257"/>
      <c r="N565" s="257"/>
      <c r="O565" s="257"/>
    </row>
    <row r="566" spans="1:15" hidden="1">
      <c r="A566" s="267">
        <v>45745</v>
      </c>
      <c r="B566" s="257" t="s">
        <v>1119</v>
      </c>
      <c r="C566" s="257" t="s">
        <v>265</v>
      </c>
      <c r="D566" s="257" t="s">
        <v>2087</v>
      </c>
      <c r="E566" s="268">
        <v>120000</v>
      </c>
      <c r="F566" s="259">
        <v>207.02290708466893</v>
      </c>
      <c r="G566" s="269">
        <v>579.64599999999996</v>
      </c>
      <c r="H566" s="261" t="s">
        <v>200</v>
      </c>
      <c r="I566" s="261" t="s">
        <v>1141</v>
      </c>
      <c r="J566" s="261" t="s">
        <v>98</v>
      </c>
      <c r="K566" s="265" t="s">
        <v>202</v>
      </c>
      <c r="L566" s="261" t="s">
        <v>155</v>
      </c>
      <c r="M566" s="257"/>
      <c r="N566" s="257"/>
      <c r="O566" s="257"/>
    </row>
    <row r="567" spans="1:15" hidden="1">
      <c r="A567" s="267">
        <v>45745</v>
      </c>
      <c r="B567" s="257" t="s">
        <v>1120</v>
      </c>
      <c r="C567" s="263" t="s">
        <v>177</v>
      </c>
      <c r="D567" s="257" t="s">
        <v>2087</v>
      </c>
      <c r="E567" s="268">
        <v>60000</v>
      </c>
      <c r="F567" s="259">
        <v>103.51145354233446</v>
      </c>
      <c r="G567" s="269">
        <v>579.64599999999996</v>
      </c>
      <c r="H567" s="261" t="s">
        <v>200</v>
      </c>
      <c r="I567" s="261" t="s">
        <v>1142</v>
      </c>
      <c r="J567" s="261" t="s">
        <v>98</v>
      </c>
      <c r="K567" s="265" t="s">
        <v>202</v>
      </c>
      <c r="L567" s="261" t="s">
        <v>155</v>
      </c>
      <c r="M567" s="257"/>
      <c r="N567" s="257"/>
      <c r="O567" s="257"/>
    </row>
    <row r="568" spans="1:15" hidden="1">
      <c r="A568" s="267">
        <v>45745</v>
      </c>
      <c r="B568" s="257" t="s">
        <v>1121</v>
      </c>
      <c r="C568" s="263" t="s">
        <v>174</v>
      </c>
      <c r="D568" s="257" t="s">
        <v>2087</v>
      </c>
      <c r="E568" s="268">
        <v>46875</v>
      </c>
      <c r="F568" s="259">
        <v>80.868323079948809</v>
      </c>
      <c r="G568" s="269">
        <v>579.64599999999996</v>
      </c>
      <c r="H568" s="261" t="s">
        <v>200</v>
      </c>
      <c r="I568" s="261" t="s">
        <v>1143</v>
      </c>
      <c r="J568" s="261" t="s">
        <v>98</v>
      </c>
      <c r="K568" s="265" t="s">
        <v>202</v>
      </c>
      <c r="L568" s="261" t="s">
        <v>155</v>
      </c>
      <c r="M568" s="257"/>
      <c r="N568" s="257"/>
      <c r="O568" s="257"/>
    </row>
    <row r="569" spans="1:15" hidden="1">
      <c r="A569" s="267">
        <v>45745</v>
      </c>
      <c r="B569" s="257" t="s">
        <v>1122</v>
      </c>
      <c r="C569" s="263" t="s">
        <v>174</v>
      </c>
      <c r="D569" s="257" t="s">
        <v>2087</v>
      </c>
      <c r="E569" s="268">
        <v>46875</v>
      </c>
      <c r="F569" s="259">
        <v>80.868323079948809</v>
      </c>
      <c r="G569" s="269">
        <v>579.64599999999996</v>
      </c>
      <c r="H569" s="261" t="s">
        <v>200</v>
      </c>
      <c r="I569" s="261" t="s">
        <v>1144</v>
      </c>
      <c r="J569" s="261" t="s">
        <v>98</v>
      </c>
      <c r="K569" s="265" t="s">
        <v>202</v>
      </c>
      <c r="L569" s="261" t="s">
        <v>155</v>
      </c>
      <c r="M569" s="257"/>
      <c r="N569" s="257"/>
      <c r="O569" s="257"/>
    </row>
    <row r="570" spans="1:15" hidden="1">
      <c r="A570" s="267">
        <v>45745</v>
      </c>
      <c r="B570" s="257" t="s">
        <v>1123</v>
      </c>
      <c r="C570" s="263" t="s">
        <v>174</v>
      </c>
      <c r="D570" s="258" t="s">
        <v>117</v>
      </c>
      <c r="E570" s="268">
        <v>40000</v>
      </c>
      <c r="F570" s="259">
        <v>69.007635694889643</v>
      </c>
      <c r="G570" s="269">
        <v>579.64599999999996</v>
      </c>
      <c r="H570" s="261" t="s">
        <v>200</v>
      </c>
      <c r="I570" s="261" t="s">
        <v>1145</v>
      </c>
      <c r="J570" s="261" t="s">
        <v>98</v>
      </c>
      <c r="K570" s="265" t="s">
        <v>202</v>
      </c>
      <c r="L570" s="261" t="s">
        <v>155</v>
      </c>
      <c r="M570" s="257"/>
      <c r="N570" s="257"/>
      <c r="O570" s="257"/>
    </row>
    <row r="571" spans="1:15" hidden="1">
      <c r="A571" s="267">
        <v>45745</v>
      </c>
      <c r="B571" s="257" t="s">
        <v>1015</v>
      </c>
      <c r="C571" s="263" t="s">
        <v>174</v>
      </c>
      <c r="D571" s="258" t="s">
        <v>442</v>
      </c>
      <c r="E571" s="268">
        <v>83200</v>
      </c>
      <c r="F571" s="259">
        <v>143.53588224537046</v>
      </c>
      <c r="G571" s="269">
        <v>579.64599999999996</v>
      </c>
      <c r="H571" s="261" t="s">
        <v>175</v>
      </c>
      <c r="I571" s="261" t="s">
        <v>1016</v>
      </c>
      <c r="J571" s="261" t="s">
        <v>98</v>
      </c>
      <c r="K571" s="265" t="s">
        <v>202</v>
      </c>
      <c r="L571" s="261" t="s">
        <v>155</v>
      </c>
      <c r="M571" s="257"/>
      <c r="N571" s="257"/>
      <c r="O571" s="257"/>
    </row>
    <row r="572" spans="1:15" hidden="1">
      <c r="A572" s="267">
        <v>45743</v>
      </c>
      <c r="B572" s="257" t="s">
        <v>1053</v>
      </c>
      <c r="C572" s="263" t="s">
        <v>177</v>
      </c>
      <c r="D572" s="258" t="s">
        <v>117</v>
      </c>
      <c r="E572" s="268">
        <v>150000</v>
      </c>
      <c r="F572" s="259">
        <v>258.77863385583618</v>
      </c>
      <c r="G572" s="269">
        <v>579.64599999999996</v>
      </c>
      <c r="H572" s="261" t="s">
        <v>187</v>
      </c>
      <c r="I572" s="261" t="s">
        <v>1054</v>
      </c>
      <c r="J572" s="261" t="s">
        <v>98</v>
      </c>
      <c r="K572" s="265" t="s">
        <v>202</v>
      </c>
      <c r="L572" s="261" t="s">
        <v>155</v>
      </c>
      <c r="M572" s="257"/>
      <c r="N572" s="257"/>
      <c r="O572" s="257"/>
    </row>
    <row r="573" spans="1:15" hidden="1">
      <c r="A573" s="267">
        <v>45745</v>
      </c>
      <c r="B573" s="257" t="s">
        <v>1055</v>
      </c>
      <c r="C573" s="263" t="s">
        <v>177</v>
      </c>
      <c r="D573" s="258" t="s">
        <v>117</v>
      </c>
      <c r="E573" s="268">
        <v>30000</v>
      </c>
      <c r="F573" s="259">
        <v>51.755726771167232</v>
      </c>
      <c r="G573" s="269">
        <v>579.64599999999996</v>
      </c>
      <c r="H573" s="261" t="s">
        <v>187</v>
      </c>
      <c r="I573" s="261" t="s">
        <v>1056</v>
      </c>
      <c r="J573" s="261" t="s">
        <v>98</v>
      </c>
      <c r="K573" s="265" t="s">
        <v>202</v>
      </c>
      <c r="L573" s="261" t="s">
        <v>155</v>
      </c>
      <c r="M573" s="257"/>
      <c r="N573" s="257"/>
      <c r="O573" s="257"/>
    </row>
    <row r="574" spans="1:15" hidden="1">
      <c r="A574" s="267">
        <v>45745</v>
      </c>
      <c r="B574" s="257" t="s">
        <v>1158</v>
      </c>
      <c r="C574" s="263" t="s">
        <v>174</v>
      </c>
      <c r="D574" s="258" t="s">
        <v>117</v>
      </c>
      <c r="E574" s="268">
        <v>6000</v>
      </c>
      <c r="F574" s="259">
        <v>10.351145354233447</v>
      </c>
      <c r="G574" s="269">
        <v>579.64599999999996</v>
      </c>
      <c r="H574" s="261" t="s">
        <v>187</v>
      </c>
      <c r="I574" s="261" t="s">
        <v>1057</v>
      </c>
      <c r="J574" s="261" t="s">
        <v>98</v>
      </c>
      <c r="K574" s="265" t="s">
        <v>202</v>
      </c>
      <c r="L574" s="261" t="s">
        <v>155</v>
      </c>
      <c r="M574" s="257"/>
      <c r="N574" s="257"/>
      <c r="O574" s="257"/>
    </row>
    <row r="575" spans="1:15" hidden="1">
      <c r="A575" s="267">
        <v>45745</v>
      </c>
      <c r="B575" s="257" t="s">
        <v>1058</v>
      </c>
      <c r="C575" s="263" t="s">
        <v>174</v>
      </c>
      <c r="D575" s="258" t="s">
        <v>117</v>
      </c>
      <c r="E575" s="268">
        <v>7000</v>
      </c>
      <c r="F575" s="259">
        <v>12.076336246605688</v>
      </c>
      <c r="G575" s="269">
        <v>579.64599999999996</v>
      </c>
      <c r="H575" s="261" t="s">
        <v>187</v>
      </c>
      <c r="I575" s="261" t="s">
        <v>1059</v>
      </c>
      <c r="J575" s="261" t="s">
        <v>98</v>
      </c>
      <c r="K575" s="265" t="s">
        <v>202</v>
      </c>
      <c r="L575" s="261" t="s">
        <v>155</v>
      </c>
      <c r="M575" s="257"/>
      <c r="N575" s="257"/>
      <c r="O575" s="257"/>
    </row>
    <row r="576" spans="1:15" hidden="1">
      <c r="A576" s="267">
        <v>45745</v>
      </c>
      <c r="B576" s="257" t="s">
        <v>2094</v>
      </c>
      <c r="C576" s="263" t="s">
        <v>174</v>
      </c>
      <c r="D576" s="258" t="s">
        <v>117</v>
      </c>
      <c r="E576" s="268">
        <v>49400</v>
      </c>
      <c r="F576" s="259">
        <v>85.224430083188707</v>
      </c>
      <c r="G576" s="269">
        <v>579.64599999999996</v>
      </c>
      <c r="H576" s="261" t="s">
        <v>187</v>
      </c>
      <c r="I576" s="261" t="s">
        <v>1060</v>
      </c>
      <c r="J576" s="261" t="s">
        <v>98</v>
      </c>
      <c r="K576" s="265" t="s">
        <v>202</v>
      </c>
      <c r="L576" s="261" t="s">
        <v>155</v>
      </c>
      <c r="M576" s="257"/>
      <c r="N576" s="257"/>
      <c r="O576" s="257"/>
    </row>
    <row r="577" spans="1:15" hidden="1">
      <c r="A577" s="267">
        <v>45747</v>
      </c>
      <c r="B577" s="257" t="s">
        <v>968</v>
      </c>
      <c r="C577" s="263" t="s">
        <v>174</v>
      </c>
      <c r="D577" s="257" t="s">
        <v>119</v>
      </c>
      <c r="E577" s="268">
        <v>61000</v>
      </c>
      <c r="F577" s="259">
        <v>105.2366444347067</v>
      </c>
      <c r="G577" s="269">
        <v>579.64599999999996</v>
      </c>
      <c r="H577" s="261" t="s">
        <v>153</v>
      </c>
      <c r="I577" s="261" t="s">
        <v>969</v>
      </c>
      <c r="J577" s="261" t="s">
        <v>98</v>
      </c>
      <c r="K577" s="265" t="s">
        <v>202</v>
      </c>
      <c r="L577" s="261" t="s">
        <v>155</v>
      </c>
      <c r="M577" s="257"/>
      <c r="N577" s="257"/>
      <c r="O577" s="257"/>
    </row>
    <row r="578" spans="1:15" hidden="1">
      <c r="A578" s="267">
        <v>45747</v>
      </c>
      <c r="B578" s="257" t="s">
        <v>1159</v>
      </c>
      <c r="C578" s="263" t="s">
        <v>174</v>
      </c>
      <c r="D578" s="257" t="s">
        <v>118</v>
      </c>
      <c r="E578" s="268">
        <v>35500</v>
      </c>
      <c r="F578" s="259">
        <v>61.244276679214558</v>
      </c>
      <c r="G578" s="269">
        <v>579.64599999999996</v>
      </c>
      <c r="H578" s="261" t="s">
        <v>583</v>
      </c>
      <c r="I578" s="261" t="s">
        <v>971</v>
      </c>
      <c r="J578" s="261" t="s">
        <v>98</v>
      </c>
      <c r="K578" s="265" t="s">
        <v>202</v>
      </c>
      <c r="L578" s="261" t="s">
        <v>155</v>
      </c>
      <c r="M578" s="257"/>
      <c r="N578" s="257"/>
      <c r="O578" s="257"/>
    </row>
    <row r="579" spans="1:15" hidden="1">
      <c r="A579" s="267">
        <v>45747</v>
      </c>
      <c r="B579" s="257" t="s">
        <v>822</v>
      </c>
      <c r="C579" s="257" t="s">
        <v>626</v>
      </c>
      <c r="D579" s="257" t="s">
        <v>118</v>
      </c>
      <c r="E579" s="268">
        <v>45050</v>
      </c>
      <c r="F579" s="259">
        <v>77.719849701369469</v>
      </c>
      <c r="G579" s="269">
        <v>579.64599999999996</v>
      </c>
      <c r="H579" s="261" t="s">
        <v>583</v>
      </c>
      <c r="I579" s="261" t="s">
        <v>877</v>
      </c>
      <c r="J579" s="261" t="s">
        <v>98</v>
      </c>
      <c r="K579" s="265" t="s">
        <v>202</v>
      </c>
      <c r="L579" s="261" t="s">
        <v>155</v>
      </c>
      <c r="M579" s="257"/>
      <c r="N579" s="257"/>
      <c r="O579" s="257"/>
    </row>
    <row r="580" spans="1:15" hidden="1">
      <c r="A580" s="267">
        <v>45747</v>
      </c>
      <c r="B580" s="257" t="s">
        <v>1029</v>
      </c>
      <c r="C580" s="263" t="s">
        <v>365</v>
      </c>
      <c r="D580" s="258" t="s">
        <v>442</v>
      </c>
      <c r="E580" s="268">
        <v>30100</v>
      </c>
      <c r="F580" s="259">
        <v>51.928245860404459</v>
      </c>
      <c r="G580" s="269">
        <v>579.64599999999996</v>
      </c>
      <c r="H580" s="261" t="s">
        <v>317</v>
      </c>
      <c r="I580" s="261" t="s">
        <v>1030</v>
      </c>
      <c r="J580" s="261" t="s">
        <v>98</v>
      </c>
      <c r="K580" s="265" t="s">
        <v>202</v>
      </c>
      <c r="L580" s="261" t="s">
        <v>155</v>
      </c>
      <c r="M580" s="257"/>
      <c r="N580" s="257"/>
      <c r="O580" s="257"/>
    </row>
    <row r="581" spans="1:15" hidden="1">
      <c r="A581" s="267">
        <v>45747</v>
      </c>
      <c r="B581" s="257" t="s">
        <v>1031</v>
      </c>
      <c r="C581" s="263" t="s">
        <v>174</v>
      </c>
      <c r="D581" s="258" t="s">
        <v>442</v>
      </c>
      <c r="E581" s="268">
        <v>89800</v>
      </c>
      <c r="F581" s="259">
        <v>154.92214213502726</v>
      </c>
      <c r="G581" s="269">
        <v>579.64599999999996</v>
      </c>
      <c r="H581" s="261" t="s">
        <v>317</v>
      </c>
      <c r="I581" s="261" t="s">
        <v>1032</v>
      </c>
      <c r="J581" s="261" t="s">
        <v>98</v>
      </c>
      <c r="K581" s="265" t="s">
        <v>202</v>
      </c>
      <c r="L581" s="261" t="s">
        <v>155</v>
      </c>
      <c r="M581" s="257"/>
      <c r="N581" s="257"/>
      <c r="O581" s="257"/>
    </row>
    <row r="582" spans="1:15" hidden="1">
      <c r="A582" s="267">
        <v>45747</v>
      </c>
      <c r="B582" s="257" t="s">
        <v>1040</v>
      </c>
      <c r="C582" s="263" t="s">
        <v>174</v>
      </c>
      <c r="D582" s="258" t="s">
        <v>442</v>
      </c>
      <c r="E582" s="268">
        <v>50500</v>
      </c>
      <c r="F582" s="259">
        <v>87.122140064798174</v>
      </c>
      <c r="G582" s="269">
        <v>579.64599999999996</v>
      </c>
      <c r="H582" s="261" t="s">
        <v>323</v>
      </c>
      <c r="I582" s="261" t="s">
        <v>1041</v>
      </c>
      <c r="J582" s="261" t="s">
        <v>98</v>
      </c>
      <c r="K582" s="265" t="s">
        <v>202</v>
      </c>
      <c r="L582" s="261" t="s">
        <v>155</v>
      </c>
      <c r="M582" s="257"/>
      <c r="N582" s="257"/>
      <c r="O582" s="257"/>
    </row>
    <row r="583" spans="1:15" hidden="1">
      <c r="A583" s="267">
        <v>45747</v>
      </c>
      <c r="B583" s="257" t="s">
        <v>1160</v>
      </c>
      <c r="C583" s="263" t="s">
        <v>174</v>
      </c>
      <c r="D583" s="258" t="s">
        <v>117</v>
      </c>
      <c r="E583" s="268">
        <v>53000</v>
      </c>
      <c r="F583" s="259">
        <v>91.435117295728773</v>
      </c>
      <c r="G583" s="269">
        <v>579.64599999999996</v>
      </c>
      <c r="H583" s="261" t="s">
        <v>193</v>
      </c>
      <c r="I583" s="261" t="s">
        <v>1084</v>
      </c>
      <c r="J583" s="261" t="s">
        <v>98</v>
      </c>
      <c r="K583" s="265" t="s">
        <v>202</v>
      </c>
      <c r="L583" s="261" t="s">
        <v>155</v>
      </c>
      <c r="M583" s="257"/>
      <c r="N583" s="257"/>
      <c r="O583" s="257"/>
    </row>
    <row r="584" spans="1:15" hidden="1">
      <c r="A584" s="267">
        <v>45747</v>
      </c>
      <c r="B584" s="257" t="s">
        <v>823</v>
      </c>
      <c r="C584" s="264" t="s">
        <v>2086</v>
      </c>
      <c r="D584" s="257" t="s">
        <v>118</v>
      </c>
      <c r="E584" s="268">
        <v>16890</v>
      </c>
      <c r="F584" s="259">
        <v>29.138474172167154</v>
      </c>
      <c r="G584" s="269">
        <v>579.64599999999996</v>
      </c>
      <c r="H584" s="261" t="s">
        <v>193</v>
      </c>
      <c r="I584" s="261" t="s">
        <v>878</v>
      </c>
      <c r="J584" s="261" t="s">
        <v>98</v>
      </c>
      <c r="K584" s="265" t="s">
        <v>202</v>
      </c>
      <c r="L584" s="261" t="s">
        <v>155</v>
      </c>
      <c r="M584" s="257"/>
      <c r="N584" s="257"/>
      <c r="O584" s="257"/>
    </row>
    <row r="585" spans="1:15" hidden="1">
      <c r="A585" s="267">
        <v>45747</v>
      </c>
      <c r="B585" s="257" t="s">
        <v>1096</v>
      </c>
      <c r="C585" s="263" t="s">
        <v>174</v>
      </c>
      <c r="D585" s="258" t="s">
        <v>117</v>
      </c>
      <c r="E585" s="268">
        <v>33000</v>
      </c>
      <c r="F585" s="259">
        <v>56.931299448283958</v>
      </c>
      <c r="G585" s="269">
        <v>579.64599999999996</v>
      </c>
      <c r="H585" s="261" t="s">
        <v>437</v>
      </c>
      <c r="I585" s="261" t="s">
        <v>1097</v>
      </c>
      <c r="J585" s="261" t="s">
        <v>98</v>
      </c>
      <c r="K585" s="265" t="s">
        <v>202</v>
      </c>
      <c r="L585" s="261" t="s">
        <v>155</v>
      </c>
      <c r="M585" s="257"/>
      <c r="N585" s="257"/>
      <c r="O585" s="257"/>
    </row>
    <row r="586" spans="1:15" hidden="1">
      <c r="A586" s="267">
        <v>45747</v>
      </c>
      <c r="B586" s="257" t="s">
        <v>929</v>
      </c>
      <c r="C586" s="257" t="s">
        <v>127</v>
      </c>
      <c r="D586" s="258" t="s">
        <v>442</v>
      </c>
      <c r="E586" s="268">
        <v>255000</v>
      </c>
      <c r="F586" s="259">
        <v>439.92367755492148</v>
      </c>
      <c r="G586" s="269">
        <v>579.64599999999996</v>
      </c>
      <c r="H586" s="261" t="s">
        <v>148</v>
      </c>
      <c r="I586" s="261" t="s">
        <v>1129</v>
      </c>
      <c r="J586" s="261" t="s">
        <v>98</v>
      </c>
      <c r="K586" s="265" t="s">
        <v>202</v>
      </c>
      <c r="L586" s="261" t="s">
        <v>155</v>
      </c>
      <c r="M586" s="257"/>
      <c r="N586" s="257"/>
      <c r="O586" s="257"/>
    </row>
    <row r="587" spans="1:15" hidden="1">
      <c r="A587" s="267">
        <v>45747</v>
      </c>
      <c r="B587" s="257" t="s">
        <v>930</v>
      </c>
      <c r="C587" s="257" t="s">
        <v>127</v>
      </c>
      <c r="D587" s="258" t="s">
        <v>442</v>
      </c>
      <c r="E587" s="268">
        <v>255000</v>
      </c>
      <c r="F587" s="259">
        <v>439.92367755492148</v>
      </c>
      <c r="G587" s="269">
        <v>579.64599999999996</v>
      </c>
      <c r="H587" s="261" t="s">
        <v>148</v>
      </c>
      <c r="I587" s="261" t="s">
        <v>1130</v>
      </c>
      <c r="J587" s="261" t="s">
        <v>98</v>
      </c>
      <c r="K587" s="265" t="s">
        <v>202</v>
      </c>
      <c r="L587" s="261" t="s">
        <v>155</v>
      </c>
      <c r="M587" s="257"/>
      <c r="N587" s="257"/>
      <c r="O587" s="257"/>
    </row>
    <row r="588" spans="1:15" hidden="1">
      <c r="A588" s="256">
        <v>45748</v>
      </c>
      <c r="B588" s="257" t="s">
        <v>1277</v>
      </c>
      <c r="C588" s="257" t="s">
        <v>1505</v>
      </c>
      <c r="D588" s="258" t="s">
        <v>988</v>
      </c>
      <c r="E588" s="259">
        <v>28000</v>
      </c>
      <c r="F588" s="259">
        <v>48.305344986422753</v>
      </c>
      <c r="G588" s="269">
        <v>579.64599999999996</v>
      </c>
      <c r="H588" s="261" t="s">
        <v>323</v>
      </c>
      <c r="I588" s="261" t="s">
        <v>1278</v>
      </c>
      <c r="J588" s="261" t="s">
        <v>98</v>
      </c>
      <c r="K588" s="261" t="s">
        <v>202</v>
      </c>
      <c r="L588" s="261" t="s">
        <v>155</v>
      </c>
      <c r="M588" s="257"/>
      <c r="N588" s="257"/>
      <c r="O588" s="257"/>
    </row>
    <row r="589" spans="1:15" hidden="1">
      <c r="A589" s="256">
        <v>45748</v>
      </c>
      <c r="B589" s="257" t="s">
        <v>1335</v>
      </c>
      <c r="C589" s="257" t="s">
        <v>174</v>
      </c>
      <c r="D589" s="258" t="s">
        <v>117</v>
      </c>
      <c r="E589" s="259">
        <v>7000</v>
      </c>
      <c r="F589" s="259">
        <v>12.076336246605688</v>
      </c>
      <c r="G589" s="269">
        <v>579.64599999999996</v>
      </c>
      <c r="H589" s="261" t="s">
        <v>193</v>
      </c>
      <c r="I589" s="261" t="s">
        <v>1336</v>
      </c>
      <c r="J589" s="261" t="s">
        <v>98</v>
      </c>
      <c r="K589" s="261" t="s">
        <v>202</v>
      </c>
      <c r="L589" s="261" t="s">
        <v>155</v>
      </c>
      <c r="M589" s="257"/>
      <c r="N589" s="257"/>
      <c r="O589" s="257"/>
    </row>
    <row r="590" spans="1:15" hidden="1">
      <c r="A590" s="256">
        <v>45748</v>
      </c>
      <c r="B590" s="257" t="s">
        <v>1337</v>
      </c>
      <c r="C590" s="257" t="s">
        <v>174</v>
      </c>
      <c r="D590" s="258" t="s">
        <v>117</v>
      </c>
      <c r="E590" s="259">
        <v>21000</v>
      </c>
      <c r="F590" s="259">
        <v>36.229008739817061</v>
      </c>
      <c r="G590" s="269">
        <v>579.64599999999996</v>
      </c>
      <c r="H590" s="261" t="s">
        <v>193</v>
      </c>
      <c r="I590" s="261" t="s">
        <v>1338</v>
      </c>
      <c r="J590" s="261" t="s">
        <v>98</v>
      </c>
      <c r="K590" s="261" t="s">
        <v>202</v>
      </c>
      <c r="L590" s="261" t="s">
        <v>155</v>
      </c>
      <c r="M590" s="257"/>
      <c r="N590" s="257"/>
      <c r="O590" s="257"/>
    </row>
    <row r="591" spans="1:15" hidden="1">
      <c r="A591" s="256">
        <v>45748</v>
      </c>
      <c r="B591" s="257" t="s">
        <v>1339</v>
      </c>
      <c r="C591" s="263" t="s">
        <v>177</v>
      </c>
      <c r="D591" s="258" t="s">
        <v>117</v>
      </c>
      <c r="E591" s="259">
        <v>50000</v>
      </c>
      <c r="F591" s="259">
        <v>86.259544618612054</v>
      </c>
      <c r="G591" s="269">
        <v>579.64599999999996</v>
      </c>
      <c r="H591" s="261" t="s">
        <v>193</v>
      </c>
      <c r="I591" s="261" t="s">
        <v>1340</v>
      </c>
      <c r="J591" s="261" t="s">
        <v>98</v>
      </c>
      <c r="K591" s="261" t="s">
        <v>202</v>
      </c>
      <c r="L591" s="261" t="s">
        <v>155</v>
      </c>
      <c r="M591" s="257"/>
      <c r="N591" s="257"/>
      <c r="O591" s="257"/>
    </row>
    <row r="592" spans="1:15" hidden="1">
      <c r="A592" s="256">
        <v>45748</v>
      </c>
      <c r="B592" s="257" t="s">
        <v>931</v>
      </c>
      <c r="C592" s="257" t="s">
        <v>304</v>
      </c>
      <c r="D592" s="257" t="s">
        <v>118</v>
      </c>
      <c r="E592" s="259">
        <v>260000</v>
      </c>
      <c r="F592" s="259">
        <v>448.54963201678271</v>
      </c>
      <c r="G592" s="269">
        <v>579.64599999999996</v>
      </c>
      <c r="H592" s="261" t="s">
        <v>148</v>
      </c>
      <c r="I592" s="261" t="s">
        <v>1457</v>
      </c>
      <c r="J592" s="261" t="s">
        <v>98</v>
      </c>
      <c r="K592" s="261" t="s">
        <v>202</v>
      </c>
      <c r="L592" s="261" t="s">
        <v>155</v>
      </c>
      <c r="M592" s="257"/>
      <c r="N592" s="257"/>
      <c r="O592" s="257"/>
    </row>
    <row r="593" spans="1:15" hidden="1">
      <c r="A593" s="256">
        <v>45749</v>
      </c>
      <c r="B593" s="257" t="s">
        <v>1191</v>
      </c>
      <c r="C593" s="257" t="s">
        <v>152</v>
      </c>
      <c r="D593" s="258" t="s">
        <v>442</v>
      </c>
      <c r="E593" s="259">
        <v>88000</v>
      </c>
      <c r="F593" s="259">
        <v>151.81679852875723</v>
      </c>
      <c r="G593" s="269">
        <v>579.64599999999996</v>
      </c>
      <c r="H593" s="261" t="s">
        <v>583</v>
      </c>
      <c r="I593" s="261" t="s">
        <v>1192</v>
      </c>
      <c r="J593" s="261" t="s">
        <v>98</v>
      </c>
      <c r="K593" s="261" t="s">
        <v>202</v>
      </c>
      <c r="L593" s="261" t="s">
        <v>155</v>
      </c>
      <c r="M593" s="257"/>
      <c r="N593" s="257"/>
      <c r="O593" s="257"/>
    </row>
    <row r="594" spans="1:15" hidden="1">
      <c r="A594" s="256">
        <v>45749</v>
      </c>
      <c r="B594" s="257" t="s">
        <v>1193</v>
      </c>
      <c r="C594" s="257" t="s">
        <v>152</v>
      </c>
      <c r="D594" s="257" t="s">
        <v>120</v>
      </c>
      <c r="E594" s="259">
        <v>10000</v>
      </c>
      <c r="F594" s="259">
        <v>17.251908923722411</v>
      </c>
      <c r="G594" s="269">
        <v>579.64599999999996</v>
      </c>
      <c r="H594" s="261" t="s">
        <v>583</v>
      </c>
      <c r="I594" s="261" t="s">
        <v>1194</v>
      </c>
      <c r="J594" s="261" t="s">
        <v>98</v>
      </c>
      <c r="K594" s="261" t="s">
        <v>202</v>
      </c>
      <c r="L594" s="261" t="s">
        <v>155</v>
      </c>
      <c r="M594" s="257"/>
      <c r="N594" s="257"/>
      <c r="O594" s="257"/>
    </row>
    <row r="595" spans="1:15" hidden="1">
      <c r="A595" s="256">
        <v>45749</v>
      </c>
      <c r="B595" s="257" t="s">
        <v>1195</v>
      </c>
      <c r="C595" s="257" t="s">
        <v>152</v>
      </c>
      <c r="D595" s="258" t="s">
        <v>117</v>
      </c>
      <c r="E595" s="259">
        <v>10000</v>
      </c>
      <c r="F595" s="259">
        <v>17.251908923722411</v>
      </c>
      <c r="G595" s="269">
        <v>579.64599999999996</v>
      </c>
      <c r="H595" s="261" t="s">
        <v>583</v>
      </c>
      <c r="I595" s="261" t="s">
        <v>1196</v>
      </c>
      <c r="J595" s="261" t="s">
        <v>98</v>
      </c>
      <c r="K595" s="261" t="s">
        <v>202</v>
      </c>
      <c r="L595" s="261" t="s">
        <v>155</v>
      </c>
      <c r="M595" s="257"/>
      <c r="N595" s="257"/>
      <c r="O595" s="257"/>
    </row>
    <row r="596" spans="1:15" hidden="1">
      <c r="A596" s="256">
        <v>45749</v>
      </c>
      <c r="B596" s="257" t="s">
        <v>1197</v>
      </c>
      <c r="C596" s="257" t="s">
        <v>152</v>
      </c>
      <c r="D596" s="258" t="s">
        <v>442</v>
      </c>
      <c r="E596" s="259">
        <v>16000</v>
      </c>
      <c r="F596" s="259">
        <v>27.603054277955859</v>
      </c>
      <c r="G596" s="269">
        <v>579.64599999999996</v>
      </c>
      <c r="H596" s="261" t="s">
        <v>583</v>
      </c>
      <c r="I596" s="261" t="s">
        <v>1198</v>
      </c>
      <c r="J596" s="261" t="s">
        <v>98</v>
      </c>
      <c r="K596" s="261" t="s">
        <v>202</v>
      </c>
      <c r="L596" s="261" t="s">
        <v>155</v>
      </c>
      <c r="M596" s="257"/>
      <c r="N596" s="257"/>
      <c r="O596" s="257"/>
    </row>
    <row r="597" spans="1:15" hidden="1">
      <c r="A597" s="256">
        <v>45749</v>
      </c>
      <c r="B597" s="257" t="s">
        <v>1199</v>
      </c>
      <c r="C597" s="257" t="s">
        <v>152</v>
      </c>
      <c r="D597" s="257" t="s">
        <v>120</v>
      </c>
      <c r="E597" s="259">
        <v>11000</v>
      </c>
      <c r="F597" s="259">
        <v>18.977099816094654</v>
      </c>
      <c r="G597" s="269">
        <v>579.64599999999996</v>
      </c>
      <c r="H597" s="261" t="s">
        <v>583</v>
      </c>
      <c r="I597" s="261" t="s">
        <v>1200</v>
      </c>
      <c r="J597" s="261" t="s">
        <v>98</v>
      </c>
      <c r="K597" s="261" t="s">
        <v>202</v>
      </c>
      <c r="L597" s="261" t="s">
        <v>155</v>
      </c>
      <c r="M597" s="257"/>
      <c r="N597" s="257"/>
      <c r="O597" s="257"/>
    </row>
    <row r="598" spans="1:15" hidden="1">
      <c r="A598" s="256">
        <v>45749</v>
      </c>
      <c r="B598" s="257" t="s">
        <v>1491</v>
      </c>
      <c r="C598" s="263" t="s">
        <v>177</v>
      </c>
      <c r="D598" s="258" t="s">
        <v>117</v>
      </c>
      <c r="E598" s="259">
        <v>20000</v>
      </c>
      <c r="F598" s="259">
        <v>34.503817847444822</v>
      </c>
      <c r="G598" s="269">
        <v>579.64599999999996</v>
      </c>
      <c r="H598" s="261" t="s">
        <v>193</v>
      </c>
      <c r="I598" s="261" t="s">
        <v>1341</v>
      </c>
      <c r="J598" s="261" t="s">
        <v>98</v>
      </c>
      <c r="K598" s="261" t="s">
        <v>202</v>
      </c>
      <c r="L598" s="261" t="s">
        <v>155</v>
      </c>
      <c r="M598" s="257"/>
      <c r="N598" s="257"/>
      <c r="O598" s="257"/>
    </row>
    <row r="599" spans="1:15" hidden="1">
      <c r="A599" s="256">
        <v>45749</v>
      </c>
      <c r="B599" s="257" t="s">
        <v>1187</v>
      </c>
      <c r="C599" s="257" t="s">
        <v>152</v>
      </c>
      <c r="D599" s="257" t="s">
        <v>119</v>
      </c>
      <c r="E599" s="273">
        <v>42000</v>
      </c>
      <c r="F599" s="259">
        <v>72.052412983844818</v>
      </c>
      <c r="G599" s="260">
        <v>582.90899999999999</v>
      </c>
      <c r="H599" s="261" t="s">
        <v>583</v>
      </c>
      <c r="I599" s="261" t="s">
        <v>1188</v>
      </c>
      <c r="J599" s="261" t="s">
        <v>98</v>
      </c>
      <c r="K599" s="274" t="s">
        <v>1902</v>
      </c>
      <c r="L599" s="261" t="s">
        <v>155</v>
      </c>
      <c r="M599" s="257"/>
      <c r="N599" s="257"/>
      <c r="O599" s="257"/>
    </row>
    <row r="600" spans="1:15" hidden="1">
      <c r="A600" s="286">
        <v>45749</v>
      </c>
      <c r="B600" s="257" t="s">
        <v>1441</v>
      </c>
      <c r="C600" s="257" t="s">
        <v>125</v>
      </c>
      <c r="D600" s="257"/>
      <c r="E600" s="287"/>
      <c r="F600" s="300">
        <f t="shared" ref="F600" si="2">+E600/G600</f>
        <v>0</v>
      </c>
      <c r="G600" s="301">
        <f>+M600/N600</f>
        <v>582.90859999999998</v>
      </c>
      <c r="H600" s="257" t="s">
        <v>148</v>
      </c>
      <c r="I600" s="257" t="s">
        <v>1467</v>
      </c>
      <c r="J600" s="257" t="s">
        <v>98</v>
      </c>
      <c r="K600" s="257" t="s">
        <v>1902</v>
      </c>
      <c r="L600" s="257" t="s">
        <v>155</v>
      </c>
      <c r="M600" s="257">
        <v>17487258</v>
      </c>
      <c r="N600" s="257">
        <v>30000</v>
      </c>
      <c r="O600" s="257"/>
    </row>
    <row r="601" spans="1:15" hidden="1">
      <c r="A601" s="256">
        <v>45749</v>
      </c>
      <c r="B601" s="257" t="s">
        <v>1189</v>
      </c>
      <c r="C601" s="257" t="s">
        <v>152</v>
      </c>
      <c r="D601" s="258" t="s">
        <v>117</v>
      </c>
      <c r="E601" s="273">
        <v>95000</v>
      </c>
      <c r="F601" s="259">
        <v>162.97569603488711</v>
      </c>
      <c r="G601" s="260">
        <v>582.90899999999999</v>
      </c>
      <c r="H601" s="261" t="s">
        <v>583</v>
      </c>
      <c r="I601" s="261" t="s">
        <v>1190</v>
      </c>
      <c r="J601" s="261" t="s">
        <v>98</v>
      </c>
      <c r="K601" s="274" t="s">
        <v>1902</v>
      </c>
      <c r="L601" s="261" t="s">
        <v>155</v>
      </c>
      <c r="M601" s="257"/>
      <c r="N601" s="257"/>
      <c r="O601" s="257"/>
    </row>
    <row r="602" spans="1:15" hidden="1">
      <c r="A602" s="275">
        <v>45750</v>
      </c>
      <c r="B602" s="257" t="s">
        <v>1489</v>
      </c>
      <c r="C602" s="257" t="s">
        <v>1505</v>
      </c>
      <c r="D602" s="258" t="s">
        <v>988</v>
      </c>
      <c r="E602" s="259">
        <v>50000</v>
      </c>
      <c r="F602" s="259">
        <v>86.259544618612054</v>
      </c>
      <c r="G602" s="272">
        <v>579.64599999999996</v>
      </c>
      <c r="H602" s="261" t="s">
        <v>175</v>
      </c>
      <c r="I602" s="261" t="s">
        <v>1256</v>
      </c>
      <c r="J602" s="261" t="s">
        <v>98</v>
      </c>
      <c r="K602" s="261" t="s">
        <v>1132</v>
      </c>
      <c r="L602" s="261" t="s">
        <v>155</v>
      </c>
      <c r="M602" s="257"/>
      <c r="N602" s="257"/>
      <c r="O602" s="257"/>
    </row>
    <row r="603" spans="1:15" hidden="1">
      <c r="A603" s="256">
        <v>45750</v>
      </c>
      <c r="B603" s="257" t="s">
        <v>3029</v>
      </c>
      <c r="C603" s="257" t="s">
        <v>174</v>
      </c>
      <c r="D603" s="258" t="s">
        <v>442</v>
      </c>
      <c r="E603" s="259">
        <v>7000</v>
      </c>
      <c r="F603" s="259">
        <v>12.00873549730747</v>
      </c>
      <c r="G603" s="260">
        <v>582.90899999999999</v>
      </c>
      <c r="H603" s="261" t="s">
        <v>184</v>
      </c>
      <c r="I603" s="261" t="s">
        <v>1470</v>
      </c>
      <c r="J603" s="261" t="s">
        <v>98</v>
      </c>
      <c r="K603" s="274" t="s">
        <v>1902</v>
      </c>
      <c r="L603" s="261" t="s">
        <v>155</v>
      </c>
      <c r="M603" s="257"/>
      <c r="N603" s="257"/>
      <c r="O603" s="257"/>
    </row>
    <row r="604" spans="1:15" hidden="1">
      <c r="A604" s="256">
        <v>45750</v>
      </c>
      <c r="B604" s="257" t="s">
        <v>3064</v>
      </c>
      <c r="C604" s="257" t="s">
        <v>174</v>
      </c>
      <c r="D604" s="258" t="s">
        <v>442</v>
      </c>
      <c r="E604" s="259">
        <v>7000</v>
      </c>
      <c r="F604" s="259">
        <v>12.076336246605688</v>
      </c>
      <c r="G604" s="272">
        <v>579.64599999999996</v>
      </c>
      <c r="H604" s="261" t="s">
        <v>317</v>
      </c>
      <c r="I604" s="261" t="s">
        <v>1269</v>
      </c>
      <c r="J604" s="261" t="s">
        <v>98</v>
      </c>
      <c r="K604" s="261" t="s">
        <v>1132</v>
      </c>
      <c r="L604" s="261" t="s">
        <v>155</v>
      </c>
      <c r="M604" s="257"/>
      <c r="N604" s="257"/>
      <c r="O604" s="257"/>
    </row>
    <row r="605" spans="1:15" hidden="1">
      <c r="A605" s="276">
        <v>45751</v>
      </c>
      <c r="B605" s="257" t="s">
        <v>1342</v>
      </c>
      <c r="C605" s="257" t="s">
        <v>174</v>
      </c>
      <c r="D605" s="258" t="s">
        <v>117</v>
      </c>
      <c r="E605" s="259">
        <v>7000</v>
      </c>
      <c r="F605" s="259">
        <v>12.076336246605688</v>
      </c>
      <c r="G605" s="272">
        <v>579.64599999999996</v>
      </c>
      <c r="H605" s="261" t="s">
        <v>193</v>
      </c>
      <c r="I605" s="261" t="s">
        <v>1343</v>
      </c>
      <c r="J605" s="261" t="s">
        <v>98</v>
      </c>
      <c r="K605" s="261" t="s">
        <v>1132</v>
      </c>
      <c r="L605" s="261" t="s">
        <v>155</v>
      </c>
      <c r="M605" s="257"/>
      <c r="N605" s="257"/>
      <c r="O605" s="257"/>
    </row>
    <row r="606" spans="1:15" hidden="1">
      <c r="A606" s="256">
        <v>45751</v>
      </c>
      <c r="B606" s="257" t="s">
        <v>3074</v>
      </c>
      <c r="C606" s="263" t="s">
        <v>177</v>
      </c>
      <c r="D606" s="258" t="s">
        <v>442</v>
      </c>
      <c r="E606" s="259">
        <v>140000</v>
      </c>
      <c r="F606" s="259">
        <v>241.52672493211375</v>
      </c>
      <c r="G606" s="272">
        <v>579.64599999999996</v>
      </c>
      <c r="H606" s="261" t="s">
        <v>184</v>
      </c>
      <c r="I606" s="261" t="s">
        <v>1471</v>
      </c>
      <c r="J606" s="261" t="s">
        <v>98</v>
      </c>
      <c r="K606" s="261" t="s">
        <v>1132</v>
      </c>
      <c r="L606" s="261" t="s">
        <v>155</v>
      </c>
      <c r="M606" s="257"/>
      <c r="N606" s="257"/>
      <c r="O606" s="257"/>
    </row>
    <row r="607" spans="1:15" hidden="1">
      <c r="A607" s="256">
        <v>45751</v>
      </c>
      <c r="B607" s="257" t="s">
        <v>3065</v>
      </c>
      <c r="C607" s="263" t="s">
        <v>177</v>
      </c>
      <c r="D607" s="258" t="s">
        <v>442</v>
      </c>
      <c r="E607" s="259">
        <v>140000</v>
      </c>
      <c r="F607" s="259">
        <v>241.52672493211375</v>
      </c>
      <c r="G607" s="272">
        <v>579.64599999999996</v>
      </c>
      <c r="H607" s="261" t="s">
        <v>317</v>
      </c>
      <c r="I607" s="261" t="s">
        <v>1270</v>
      </c>
      <c r="J607" s="261" t="s">
        <v>98</v>
      </c>
      <c r="K607" s="261" t="s">
        <v>1132</v>
      </c>
      <c r="L607" s="261" t="s">
        <v>155</v>
      </c>
      <c r="M607" s="257"/>
      <c r="N607" s="257"/>
      <c r="O607" s="257"/>
    </row>
    <row r="608" spans="1:15" hidden="1">
      <c r="A608" s="256">
        <v>45751</v>
      </c>
      <c r="B608" s="257" t="s">
        <v>1492</v>
      </c>
      <c r="C608" s="263" t="s">
        <v>177</v>
      </c>
      <c r="D608" s="258" t="s">
        <v>117</v>
      </c>
      <c r="E608" s="259">
        <v>30000</v>
      </c>
      <c r="F608" s="259">
        <v>51.755726771167232</v>
      </c>
      <c r="G608" s="272">
        <v>579.64599999999996</v>
      </c>
      <c r="H608" s="261" t="s">
        <v>193</v>
      </c>
      <c r="I608" s="261" t="s">
        <v>1344</v>
      </c>
      <c r="J608" s="261" t="s">
        <v>98</v>
      </c>
      <c r="K608" s="261" t="s">
        <v>1132</v>
      </c>
      <c r="L608" s="261" t="s">
        <v>155</v>
      </c>
      <c r="M608" s="257"/>
      <c r="N608" s="257"/>
      <c r="O608" s="257"/>
    </row>
    <row r="609" spans="1:15" hidden="1">
      <c r="A609" s="256">
        <v>45751</v>
      </c>
      <c r="B609" s="257" t="s">
        <v>1414</v>
      </c>
      <c r="C609" s="263" t="s">
        <v>2088</v>
      </c>
      <c r="D609" s="257" t="s">
        <v>120</v>
      </c>
      <c r="E609" s="259">
        <v>122000</v>
      </c>
      <c r="F609" s="259">
        <v>210.47328886941341</v>
      </c>
      <c r="G609" s="272">
        <v>579.64599999999996</v>
      </c>
      <c r="H609" s="261" t="s">
        <v>213</v>
      </c>
      <c r="I609" s="261" t="s">
        <v>1415</v>
      </c>
      <c r="J609" s="261" t="s">
        <v>98</v>
      </c>
      <c r="K609" s="261" t="s">
        <v>1132</v>
      </c>
      <c r="L609" s="261" t="s">
        <v>155</v>
      </c>
      <c r="M609" s="257"/>
      <c r="N609" s="257"/>
      <c r="O609" s="257"/>
    </row>
    <row r="610" spans="1:15" hidden="1">
      <c r="A610" s="276">
        <v>45752</v>
      </c>
      <c r="B610" s="257" t="s">
        <v>1380</v>
      </c>
      <c r="C610" s="257" t="s">
        <v>196</v>
      </c>
      <c r="D610" s="258" t="s">
        <v>117</v>
      </c>
      <c r="E610" s="259">
        <v>10000</v>
      </c>
      <c r="F610" s="259">
        <v>17.251908923722411</v>
      </c>
      <c r="G610" s="272">
        <v>579.64599999999996</v>
      </c>
      <c r="H610" s="261" t="s">
        <v>437</v>
      </c>
      <c r="I610" s="261" t="s">
        <v>1381</v>
      </c>
      <c r="J610" s="261" t="s">
        <v>98</v>
      </c>
      <c r="K610" s="261" t="s">
        <v>1132</v>
      </c>
      <c r="L610" s="261" t="s">
        <v>155</v>
      </c>
      <c r="M610" s="257"/>
      <c r="N610" s="257"/>
      <c r="O610" s="257"/>
    </row>
    <row r="611" spans="1:15" hidden="1">
      <c r="A611" s="256">
        <v>45752</v>
      </c>
      <c r="B611" s="257" t="s">
        <v>1168</v>
      </c>
      <c r="C611" s="263" t="s">
        <v>177</v>
      </c>
      <c r="D611" s="258" t="s">
        <v>117</v>
      </c>
      <c r="E611" s="259">
        <v>210000</v>
      </c>
      <c r="F611" s="259">
        <v>360.26206491922409</v>
      </c>
      <c r="G611" s="260">
        <v>582.90899999999999</v>
      </c>
      <c r="H611" s="261" t="s">
        <v>200</v>
      </c>
      <c r="I611" s="261" t="s">
        <v>1169</v>
      </c>
      <c r="J611" s="261" t="s">
        <v>98</v>
      </c>
      <c r="K611" s="274" t="s">
        <v>1902</v>
      </c>
      <c r="L611" s="261" t="s">
        <v>155</v>
      </c>
      <c r="M611" s="257"/>
      <c r="N611" s="257"/>
      <c r="O611" s="257"/>
    </row>
    <row r="612" spans="1:15" hidden="1">
      <c r="A612" s="256">
        <v>45752</v>
      </c>
      <c r="B612" s="257" t="s">
        <v>1170</v>
      </c>
      <c r="C612" s="257" t="s">
        <v>174</v>
      </c>
      <c r="D612" s="258" t="s">
        <v>117</v>
      </c>
      <c r="E612" s="259">
        <v>10000</v>
      </c>
      <c r="F612" s="259">
        <v>17.155336424724958</v>
      </c>
      <c r="G612" s="260">
        <v>582.90899999999999</v>
      </c>
      <c r="H612" s="261" t="s">
        <v>200</v>
      </c>
      <c r="I612" s="261" t="s">
        <v>1171</v>
      </c>
      <c r="J612" s="261" t="s">
        <v>98</v>
      </c>
      <c r="K612" s="274" t="s">
        <v>1902</v>
      </c>
      <c r="L612" s="261" t="s">
        <v>155</v>
      </c>
      <c r="M612" s="257"/>
      <c r="N612" s="257"/>
      <c r="O612" s="257"/>
    </row>
    <row r="613" spans="1:15" hidden="1">
      <c r="A613" s="256">
        <v>45752</v>
      </c>
      <c r="B613" s="257" t="s">
        <v>1271</v>
      </c>
      <c r="C613" s="257" t="s">
        <v>365</v>
      </c>
      <c r="D613" s="258" t="s">
        <v>442</v>
      </c>
      <c r="E613" s="259">
        <v>10500</v>
      </c>
      <c r="F613" s="259">
        <v>18.013103245961204</v>
      </c>
      <c r="G613" s="260">
        <v>582.90899999999999</v>
      </c>
      <c r="H613" s="261" t="s">
        <v>317</v>
      </c>
      <c r="I613" s="261" t="s">
        <v>1272</v>
      </c>
      <c r="J613" s="261" t="s">
        <v>98</v>
      </c>
      <c r="K613" s="274" t="s">
        <v>1902</v>
      </c>
      <c r="L613" s="261" t="s">
        <v>155</v>
      </c>
      <c r="M613" s="257"/>
      <c r="N613" s="257"/>
      <c r="O613" s="257"/>
    </row>
    <row r="614" spans="1:15" hidden="1">
      <c r="A614" s="256">
        <v>45752</v>
      </c>
      <c r="B614" s="257" t="s">
        <v>1382</v>
      </c>
      <c r="C614" s="263" t="s">
        <v>177</v>
      </c>
      <c r="D614" s="258" t="s">
        <v>117</v>
      </c>
      <c r="E614" s="259">
        <v>285000</v>
      </c>
      <c r="F614" s="259">
        <v>488.92708810466127</v>
      </c>
      <c r="G614" s="260">
        <v>582.90899999999999</v>
      </c>
      <c r="H614" s="261" t="s">
        <v>437</v>
      </c>
      <c r="I614" s="261" t="s">
        <v>1383</v>
      </c>
      <c r="J614" s="261" t="s">
        <v>98</v>
      </c>
      <c r="K614" s="274" t="s">
        <v>1902</v>
      </c>
      <c r="L614" s="261" t="s">
        <v>155</v>
      </c>
      <c r="M614" s="257"/>
      <c r="N614" s="257"/>
      <c r="O614" s="257"/>
    </row>
    <row r="615" spans="1:15" hidden="1">
      <c r="A615" s="256">
        <v>45754</v>
      </c>
      <c r="B615" s="257" t="s">
        <v>1201</v>
      </c>
      <c r="C615" s="257" t="s">
        <v>127</v>
      </c>
      <c r="D615" s="258" t="s">
        <v>117</v>
      </c>
      <c r="E615" s="259">
        <v>30000</v>
      </c>
      <c r="F615" s="259">
        <v>51.466009274174873</v>
      </c>
      <c r="G615" s="260">
        <v>582.90899999999999</v>
      </c>
      <c r="H615" s="261" t="s">
        <v>583</v>
      </c>
      <c r="I615" s="261" t="s">
        <v>1202</v>
      </c>
      <c r="J615" s="261" t="s">
        <v>98</v>
      </c>
      <c r="K615" s="274" t="s">
        <v>1902</v>
      </c>
      <c r="L615" s="261" t="s">
        <v>155</v>
      </c>
      <c r="M615" s="257"/>
      <c r="N615" s="257"/>
      <c r="O615" s="257"/>
    </row>
    <row r="616" spans="1:15" hidden="1">
      <c r="A616" s="256">
        <v>45754</v>
      </c>
      <c r="B616" s="257" t="s">
        <v>1203</v>
      </c>
      <c r="C616" s="257" t="s">
        <v>265</v>
      </c>
      <c r="D616" s="257" t="s">
        <v>2087</v>
      </c>
      <c r="E616" s="259">
        <v>40000</v>
      </c>
      <c r="F616" s="259">
        <v>68.62134569889983</v>
      </c>
      <c r="G616" s="260">
        <v>582.90899999999999</v>
      </c>
      <c r="H616" s="261" t="s">
        <v>583</v>
      </c>
      <c r="I616" s="261" t="s">
        <v>1204</v>
      </c>
      <c r="J616" s="261" t="s">
        <v>98</v>
      </c>
      <c r="K616" s="274" t="s">
        <v>1902</v>
      </c>
      <c r="L616" s="261" t="s">
        <v>155</v>
      </c>
      <c r="M616" s="257"/>
      <c r="N616" s="257"/>
      <c r="O616" s="257"/>
    </row>
    <row r="617" spans="1:15" hidden="1">
      <c r="A617" s="256">
        <v>45755</v>
      </c>
      <c r="B617" s="257" t="s">
        <v>1164</v>
      </c>
      <c r="C617" s="257" t="s">
        <v>127</v>
      </c>
      <c r="D617" s="257" t="s">
        <v>119</v>
      </c>
      <c r="E617" s="259">
        <v>174625</v>
      </c>
      <c r="F617" s="259">
        <v>299.57506231675956</v>
      </c>
      <c r="G617" s="260">
        <v>582.90899999999999</v>
      </c>
      <c r="H617" s="261" t="s">
        <v>153</v>
      </c>
      <c r="I617" s="261" t="s">
        <v>1165</v>
      </c>
      <c r="J617" s="261" t="s">
        <v>98</v>
      </c>
      <c r="K617" s="274" t="s">
        <v>1902</v>
      </c>
      <c r="L617" s="261" t="s">
        <v>155</v>
      </c>
      <c r="M617" s="257"/>
      <c r="N617" s="257"/>
      <c r="O617" s="257"/>
    </row>
    <row r="618" spans="1:15" hidden="1">
      <c r="A618" s="256">
        <v>45755</v>
      </c>
      <c r="B618" s="257" t="s">
        <v>584</v>
      </c>
      <c r="C618" s="257" t="s">
        <v>368</v>
      </c>
      <c r="D618" s="258" t="s">
        <v>442</v>
      </c>
      <c r="E618" s="259">
        <v>67051</v>
      </c>
      <c r="F618" s="259">
        <v>115.02824626142331</v>
      </c>
      <c r="G618" s="260">
        <v>582.90899999999999</v>
      </c>
      <c r="H618" s="261" t="s">
        <v>153</v>
      </c>
      <c r="I618" s="261" t="s">
        <v>1182</v>
      </c>
      <c r="J618" s="261" t="s">
        <v>98</v>
      </c>
      <c r="K618" s="274" t="s">
        <v>1902</v>
      </c>
      <c r="L618" s="261" t="s">
        <v>155</v>
      </c>
      <c r="M618" s="257"/>
      <c r="N618" s="257"/>
      <c r="O618" s="257"/>
    </row>
    <row r="619" spans="1:15" hidden="1">
      <c r="A619" s="256">
        <v>45755</v>
      </c>
      <c r="B619" s="257" t="s">
        <v>1205</v>
      </c>
      <c r="C619" s="257" t="s">
        <v>127</v>
      </c>
      <c r="D619" s="257" t="s">
        <v>119</v>
      </c>
      <c r="E619" s="259">
        <v>30000</v>
      </c>
      <c r="F619" s="259">
        <v>51.466009274174873</v>
      </c>
      <c r="G619" s="260">
        <v>582.90899999999999</v>
      </c>
      <c r="H619" s="261" t="s">
        <v>583</v>
      </c>
      <c r="I619" s="261" t="s">
        <v>1206</v>
      </c>
      <c r="J619" s="261" t="s">
        <v>98</v>
      </c>
      <c r="K619" s="274" t="s">
        <v>1902</v>
      </c>
      <c r="L619" s="261" t="s">
        <v>155</v>
      </c>
      <c r="M619" s="257"/>
      <c r="N619" s="257"/>
      <c r="O619" s="257"/>
    </row>
    <row r="620" spans="1:15" hidden="1">
      <c r="A620" s="256">
        <v>45755</v>
      </c>
      <c r="B620" s="257" t="s">
        <v>1207</v>
      </c>
      <c r="C620" s="257" t="s">
        <v>127</v>
      </c>
      <c r="D620" s="258" t="s">
        <v>117</v>
      </c>
      <c r="E620" s="259">
        <v>30000</v>
      </c>
      <c r="F620" s="259">
        <v>51.466009274174873</v>
      </c>
      <c r="G620" s="260">
        <v>582.90899999999999</v>
      </c>
      <c r="H620" s="261" t="s">
        <v>583</v>
      </c>
      <c r="I620" s="261" t="s">
        <v>1208</v>
      </c>
      <c r="J620" s="261" t="s">
        <v>98</v>
      </c>
      <c r="K620" s="274" t="s">
        <v>1902</v>
      </c>
      <c r="L620" s="261" t="s">
        <v>155</v>
      </c>
      <c r="M620" s="257"/>
      <c r="N620" s="257"/>
      <c r="O620" s="257"/>
    </row>
    <row r="621" spans="1:15" hidden="1">
      <c r="A621" s="256">
        <v>45755</v>
      </c>
      <c r="B621" s="257" t="s">
        <v>1209</v>
      </c>
      <c r="C621" s="257" t="s">
        <v>127</v>
      </c>
      <c r="D621" s="258" t="s">
        <v>117</v>
      </c>
      <c r="E621" s="259">
        <v>20500</v>
      </c>
      <c r="F621" s="259">
        <v>35.168439670686162</v>
      </c>
      <c r="G621" s="260">
        <v>582.90899999999999</v>
      </c>
      <c r="H621" s="261" t="s">
        <v>583</v>
      </c>
      <c r="I621" s="261" t="s">
        <v>1210</v>
      </c>
      <c r="J621" s="261" t="s">
        <v>98</v>
      </c>
      <c r="K621" s="274" t="s">
        <v>1902</v>
      </c>
      <c r="L621" s="261" t="s">
        <v>155</v>
      </c>
      <c r="M621" s="257"/>
      <c r="N621" s="257"/>
      <c r="O621" s="257"/>
    </row>
    <row r="622" spans="1:15" hidden="1">
      <c r="A622" s="256">
        <v>45755</v>
      </c>
      <c r="B622" s="257" t="s">
        <v>1211</v>
      </c>
      <c r="C622" s="257" t="s">
        <v>127</v>
      </c>
      <c r="D622" s="258" t="s">
        <v>117</v>
      </c>
      <c r="E622" s="259">
        <v>30000</v>
      </c>
      <c r="F622" s="259">
        <v>51.466009274174873</v>
      </c>
      <c r="G622" s="260">
        <v>582.90899999999999</v>
      </c>
      <c r="H622" s="261" t="s">
        <v>583</v>
      </c>
      <c r="I622" s="261" t="s">
        <v>1212</v>
      </c>
      <c r="J622" s="261" t="s">
        <v>98</v>
      </c>
      <c r="K622" s="274" t="s">
        <v>1902</v>
      </c>
      <c r="L622" s="261" t="s">
        <v>155</v>
      </c>
      <c r="M622" s="257"/>
      <c r="N622" s="257"/>
      <c r="O622" s="257"/>
    </row>
    <row r="623" spans="1:15" hidden="1">
      <c r="A623" s="256">
        <v>45755</v>
      </c>
      <c r="B623" s="257" t="s">
        <v>1213</v>
      </c>
      <c r="C623" s="257" t="s">
        <v>127</v>
      </c>
      <c r="D623" s="258" t="s">
        <v>117</v>
      </c>
      <c r="E623" s="259">
        <v>30000</v>
      </c>
      <c r="F623" s="259">
        <v>51.466009274174873</v>
      </c>
      <c r="G623" s="260">
        <v>582.90899999999999</v>
      </c>
      <c r="H623" s="261" t="s">
        <v>583</v>
      </c>
      <c r="I623" s="261" t="s">
        <v>1214</v>
      </c>
      <c r="J623" s="261" t="s">
        <v>98</v>
      </c>
      <c r="K623" s="274" t="s">
        <v>1902</v>
      </c>
      <c r="L623" s="261" t="s">
        <v>155</v>
      </c>
      <c r="M623" s="257"/>
      <c r="N623" s="257"/>
      <c r="O623" s="257"/>
    </row>
    <row r="624" spans="1:15" hidden="1">
      <c r="A624" s="256">
        <v>45755</v>
      </c>
      <c r="B624" s="257" t="s">
        <v>1215</v>
      </c>
      <c r="C624" s="257" t="s">
        <v>127</v>
      </c>
      <c r="D624" s="257" t="s">
        <v>120</v>
      </c>
      <c r="E624" s="259">
        <v>30000</v>
      </c>
      <c r="F624" s="259">
        <v>51.466009274174873</v>
      </c>
      <c r="G624" s="260">
        <v>582.90899999999999</v>
      </c>
      <c r="H624" s="261" t="s">
        <v>583</v>
      </c>
      <c r="I624" s="261" t="s">
        <v>1216</v>
      </c>
      <c r="J624" s="261" t="s">
        <v>98</v>
      </c>
      <c r="K624" s="274" t="s">
        <v>1902</v>
      </c>
      <c r="L624" s="261" t="s">
        <v>155</v>
      </c>
      <c r="M624" s="257"/>
      <c r="N624" s="257"/>
      <c r="O624" s="257"/>
    </row>
    <row r="625" spans="1:15" hidden="1">
      <c r="A625" s="256">
        <v>45755</v>
      </c>
      <c r="B625" s="257" t="s">
        <v>1217</v>
      </c>
      <c r="C625" s="257" t="s">
        <v>265</v>
      </c>
      <c r="D625" s="257" t="s">
        <v>2087</v>
      </c>
      <c r="E625" s="259">
        <v>30000</v>
      </c>
      <c r="F625" s="259">
        <v>51.466009274174873</v>
      </c>
      <c r="G625" s="260">
        <v>582.90899999999999</v>
      </c>
      <c r="H625" s="261" t="s">
        <v>583</v>
      </c>
      <c r="I625" s="261" t="s">
        <v>1218</v>
      </c>
      <c r="J625" s="261" t="s">
        <v>98</v>
      </c>
      <c r="K625" s="274" t="s">
        <v>1902</v>
      </c>
      <c r="L625" s="261" t="s">
        <v>155</v>
      </c>
      <c r="M625" s="257"/>
      <c r="N625" s="257"/>
      <c r="O625" s="257"/>
    </row>
    <row r="626" spans="1:15" hidden="1">
      <c r="A626" s="256">
        <v>45755</v>
      </c>
      <c r="B626" s="257" t="s">
        <v>1219</v>
      </c>
      <c r="C626" s="257" t="s">
        <v>265</v>
      </c>
      <c r="D626" s="257" t="s">
        <v>2087</v>
      </c>
      <c r="E626" s="259">
        <v>25000</v>
      </c>
      <c r="F626" s="259">
        <v>42.88834106181239</v>
      </c>
      <c r="G626" s="260">
        <v>582.90899999999999</v>
      </c>
      <c r="H626" s="261" t="s">
        <v>583</v>
      </c>
      <c r="I626" s="261" t="s">
        <v>1220</v>
      </c>
      <c r="J626" s="261" t="s">
        <v>98</v>
      </c>
      <c r="K626" s="274" t="s">
        <v>1902</v>
      </c>
      <c r="L626" s="261" t="s">
        <v>155</v>
      </c>
      <c r="M626" s="257"/>
      <c r="N626" s="257"/>
      <c r="O626" s="257"/>
    </row>
    <row r="627" spans="1:15" hidden="1">
      <c r="A627" s="256">
        <v>45755</v>
      </c>
      <c r="B627" s="257" t="s">
        <v>1221</v>
      </c>
      <c r="C627" s="257" t="s">
        <v>265</v>
      </c>
      <c r="D627" s="257" t="s">
        <v>2087</v>
      </c>
      <c r="E627" s="259">
        <v>25000</v>
      </c>
      <c r="F627" s="259">
        <v>42.88834106181239</v>
      </c>
      <c r="G627" s="260">
        <v>582.90899999999999</v>
      </c>
      <c r="H627" s="261" t="s">
        <v>583</v>
      </c>
      <c r="I627" s="261" t="s">
        <v>1222</v>
      </c>
      <c r="J627" s="261" t="s">
        <v>98</v>
      </c>
      <c r="K627" s="274" t="s">
        <v>1902</v>
      </c>
      <c r="L627" s="261" t="s">
        <v>155</v>
      </c>
      <c r="M627" s="257"/>
      <c r="N627" s="257"/>
      <c r="O627" s="257"/>
    </row>
    <row r="628" spans="1:15" hidden="1">
      <c r="A628" s="256">
        <v>45755</v>
      </c>
      <c r="B628" s="257" t="s">
        <v>1223</v>
      </c>
      <c r="C628" s="257" t="s">
        <v>265</v>
      </c>
      <c r="D628" s="257" t="s">
        <v>2087</v>
      </c>
      <c r="E628" s="259">
        <v>25000</v>
      </c>
      <c r="F628" s="259">
        <v>42.88834106181239</v>
      </c>
      <c r="G628" s="260">
        <v>582.90899999999999</v>
      </c>
      <c r="H628" s="261" t="s">
        <v>583</v>
      </c>
      <c r="I628" s="261" t="s">
        <v>1224</v>
      </c>
      <c r="J628" s="261" t="s">
        <v>98</v>
      </c>
      <c r="K628" s="274" t="s">
        <v>1902</v>
      </c>
      <c r="L628" s="261" t="s">
        <v>155</v>
      </c>
      <c r="M628" s="257"/>
      <c r="N628" s="257"/>
      <c r="O628" s="257"/>
    </row>
    <row r="629" spans="1:15" hidden="1">
      <c r="A629" s="256">
        <v>45755</v>
      </c>
      <c r="B629" s="257" t="s">
        <v>2993</v>
      </c>
      <c r="C629" s="257" t="s">
        <v>174</v>
      </c>
      <c r="D629" s="258" t="s">
        <v>442</v>
      </c>
      <c r="E629" s="259">
        <v>9000</v>
      </c>
      <c r="F629" s="259">
        <v>15.439802782252462</v>
      </c>
      <c r="G629" s="260">
        <v>582.90899999999999</v>
      </c>
      <c r="H629" s="261" t="s">
        <v>175</v>
      </c>
      <c r="I629" s="261" t="s">
        <v>1257</v>
      </c>
      <c r="J629" s="261" t="s">
        <v>98</v>
      </c>
      <c r="K629" s="274" t="s">
        <v>1902</v>
      </c>
      <c r="L629" s="261" t="s">
        <v>155</v>
      </c>
      <c r="M629" s="257"/>
      <c r="N629" s="257"/>
      <c r="O629" s="257"/>
    </row>
    <row r="630" spans="1:15" hidden="1">
      <c r="A630" s="256">
        <v>45755</v>
      </c>
      <c r="B630" s="257" t="s">
        <v>2991</v>
      </c>
      <c r="C630" s="263" t="s">
        <v>177</v>
      </c>
      <c r="D630" s="258" t="s">
        <v>442</v>
      </c>
      <c r="E630" s="259">
        <v>70000</v>
      </c>
      <c r="F630" s="259">
        <v>120.0873549730747</v>
      </c>
      <c r="G630" s="260">
        <v>582.90899999999999</v>
      </c>
      <c r="H630" s="261" t="s">
        <v>175</v>
      </c>
      <c r="I630" s="261" t="s">
        <v>1258</v>
      </c>
      <c r="J630" s="261" t="s">
        <v>98</v>
      </c>
      <c r="K630" s="274" t="s">
        <v>1902</v>
      </c>
      <c r="L630" s="261" t="s">
        <v>155</v>
      </c>
      <c r="M630" s="257"/>
      <c r="N630" s="257"/>
      <c r="O630" s="257"/>
    </row>
    <row r="631" spans="1:15" hidden="1">
      <c r="A631" s="256">
        <v>45755</v>
      </c>
      <c r="B631" s="257" t="s">
        <v>3199</v>
      </c>
      <c r="C631" s="257" t="s">
        <v>174</v>
      </c>
      <c r="D631" s="258" t="s">
        <v>442</v>
      </c>
      <c r="E631" s="259">
        <v>10000</v>
      </c>
      <c r="F631" s="259">
        <v>17.155336424724958</v>
      </c>
      <c r="G631" s="260">
        <v>582.90899999999999</v>
      </c>
      <c r="H631" s="261" t="s">
        <v>323</v>
      </c>
      <c r="I631" s="261" t="s">
        <v>1279</v>
      </c>
      <c r="J631" s="261" t="s">
        <v>98</v>
      </c>
      <c r="K631" s="274" t="s">
        <v>1902</v>
      </c>
      <c r="L631" s="261" t="s">
        <v>155</v>
      </c>
      <c r="M631" s="257"/>
      <c r="N631" s="257"/>
      <c r="O631" s="257"/>
    </row>
    <row r="632" spans="1:15" hidden="1">
      <c r="A632" s="256">
        <v>45755</v>
      </c>
      <c r="B632" s="257" t="s">
        <v>3047</v>
      </c>
      <c r="C632" s="263" t="s">
        <v>177</v>
      </c>
      <c r="D632" s="258" t="s">
        <v>442</v>
      </c>
      <c r="E632" s="259">
        <v>70000</v>
      </c>
      <c r="F632" s="259">
        <v>120.0873549730747</v>
      </c>
      <c r="G632" s="260">
        <v>582.90899999999999</v>
      </c>
      <c r="H632" s="261" t="s">
        <v>323</v>
      </c>
      <c r="I632" s="261" t="s">
        <v>1280</v>
      </c>
      <c r="J632" s="261" t="s">
        <v>98</v>
      </c>
      <c r="K632" s="274" t="s">
        <v>1902</v>
      </c>
      <c r="L632" s="261" t="s">
        <v>155</v>
      </c>
      <c r="M632" s="257"/>
      <c r="N632" s="257"/>
      <c r="O632" s="257"/>
    </row>
    <row r="633" spans="1:15" hidden="1">
      <c r="A633" s="256">
        <v>45755</v>
      </c>
      <c r="B633" s="257" t="s">
        <v>1295</v>
      </c>
      <c r="C633" s="257" t="s">
        <v>174</v>
      </c>
      <c r="D633" s="258" t="s">
        <v>117</v>
      </c>
      <c r="E633" s="259">
        <v>12000</v>
      </c>
      <c r="F633" s="259">
        <v>20.586403709669948</v>
      </c>
      <c r="G633" s="260">
        <v>582.90899999999999</v>
      </c>
      <c r="H633" s="261" t="s">
        <v>187</v>
      </c>
      <c r="I633" s="261" t="s">
        <v>1296</v>
      </c>
      <c r="J633" s="261" t="s">
        <v>98</v>
      </c>
      <c r="K633" s="274" t="s">
        <v>1902</v>
      </c>
      <c r="L633" s="261" t="s">
        <v>155</v>
      </c>
      <c r="M633" s="257"/>
      <c r="N633" s="257"/>
      <c r="O633" s="257"/>
    </row>
    <row r="634" spans="1:15" hidden="1">
      <c r="A634" s="256">
        <v>45755</v>
      </c>
      <c r="B634" s="257" t="s">
        <v>797</v>
      </c>
      <c r="C634" s="264" t="s">
        <v>2086</v>
      </c>
      <c r="D634" s="257" t="s">
        <v>118</v>
      </c>
      <c r="E634" s="259">
        <v>4363</v>
      </c>
      <c r="F634" s="259">
        <v>7.4848732821074986</v>
      </c>
      <c r="G634" s="260">
        <v>582.90899999999999</v>
      </c>
      <c r="H634" s="261" t="s">
        <v>193</v>
      </c>
      <c r="I634" s="261" t="s">
        <v>1345</v>
      </c>
      <c r="J634" s="261" t="s">
        <v>98</v>
      </c>
      <c r="K634" s="274" t="s">
        <v>1902</v>
      </c>
      <c r="L634" s="261" t="s">
        <v>155</v>
      </c>
      <c r="M634" s="257"/>
      <c r="N634" s="257"/>
      <c r="O634" s="257"/>
    </row>
    <row r="635" spans="1:15" hidden="1">
      <c r="A635" s="256">
        <v>45755</v>
      </c>
      <c r="B635" s="257" t="s">
        <v>770</v>
      </c>
      <c r="C635" s="264" t="s">
        <v>2086</v>
      </c>
      <c r="D635" s="257" t="s">
        <v>118</v>
      </c>
      <c r="E635" s="259">
        <v>12600</v>
      </c>
      <c r="F635" s="259">
        <v>21.615723895153447</v>
      </c>
      <c r="G635" s="260">
        <v>582.90899999999999</v>
      </c>
      <c r="H635" s="261" t="s">
        <v>193</v>
      </c>
      <c r="I635" s="261" t="s">
        <v>1346</v>
      </c>
      <c r="J635" s="261" t="s">
        <v>98</v>
      </c>
      <c r="K635" s="274" t="s">
        <v>1902</v>
      </c>
      <c r="L635" s="261" t="s">
        <v>155</v>
      </c>
      <c r="M635" s="257"/>
      <c r="N635" s="257"/>
      <c r="O635" s="257"/>
    </row>
    <row r="636" spans="1:15" hidden="1">
      <c r="A636" s="256">
        <v>45755</v>
      </c>
      <c r="B636" s="257" t="s">
        <v>1384</v>
      </c>
      <c r="C636" s="257" t="s">
        <v>196</v>
      </c>
      <c r="D636" s="258" t="s">
        <v>117</v>
      </c>
      <c r="E636" s="259">
        <v>12000</v>
      </c>
      <c r="F636" s="259">
        <v>20.586403709669948</v>
      </c>
      <c r="G636" s="260">
        <v>582.90899999999999</v>
      </c>
      <c r="H636" s="261" t="s">
        <v>437</v>
      </c>
      <c r="I636" s="261" t="s">
        <v>1385</v>
      </c>
      <c r="J636" s="261" t="s">
        <v>98</v>
      </c>
      <c r="K636" s="274" t="s">
        <v>1902</v>
      </c>
      <c r="L636" s="261" t="s">
        <v>155</v>
      </c>
      <c r="M636" s="257"/>
      <c r="N636" s="257"/>
      <c r="O636" s="257"/>
    </row>
    <row r="637" spans="1:15" hidden="1">
      <c r="A637" s="256">
        <v>45755</v>
      </c>
      <c r="B637" s="257" t="s">
        <v>1423</v>
      </c>
      <c r="C637" s="257" t="s">
        <v>123</v>
      </c>
      <c r="D637" s="258" t="s">
        <v>117</v>
      </c>
      <c r="E637" s="259">
        <v>150000</v>
      </c>
      <c r="F637" s="259">
        <v>257.33004637087436</v>
      </c>
      <c r="G637" s="269">
        <v>579.64599999999996</v>
      </c>
      <c r="H637" s="261" t="s">
        <v>148</v>
      </c>
      <c r="I637" s="261" t="s">
        <v>1442</v>
      </c>
      <c r="J637" s="261" t="s">
        <v>98</v>
      </c>
      <c r="K637" s="277" t="s">
        <v>202</v>
      </c>
      <c r="L637" s="261" t="s">
        <v>155</v>
      </c>
      <c r="M637" s="257"/>
      <c r="N637" s="257"/>
      <c r="O637" s="257"/>
    </row>
    <row r="638" spans="1:15" hidden="1">
      <c r="A638" s="256">
        <v>45755</v>
      </c>
      <c r="B638" s="257" t="s">
        <v>1424</v>
      </c>
      <c r="C638" s="257" t="s">
        <v>123</v>
      </c>
      <c r="D638" s="258" t="s">
        <v>117</v>
      </c>
      <c r="E638" s="259">
        <v>200000</v>
      </c>
      <c r="F638" s="259">
        <v>343.10672849449912</v>
      </c>
      <c r="G638" s="269">
        <v>579.64599999999996</v>
      </c>
      <c r="H638" s="261" t="s">
        <v>148</v>
      </c>
      <c r="I638" s="261" t="s">
        <v>1443</v>
      </c>
      <c r="J638" s="261" t="s">
        <v>98</v>
      </c>
      <c r="K638" s="277" t="s">
        <v>202</v>
      </c>
      <c r="L638" s="261" t="s">
        <v>155</v>
      </c>
      <c r="M638" s="257"/>
      <c r="N638" s="257"/>
      <c r="O638" s="257"/>
    </row>
    <row r="639" spans="1:15" hidden="1">
      <c r="A639" s="256">
        <v>45756</v>
      </c>
      <c r="B639" s="257" t="s">
        <v>1225</v>
      </c>
      <c r="C639" s="257" t="s">
        <v>127</v>
      </c>
      <c r="D639" s="257" t="s">
        <v>118</v>
      </c>
      <c r="E639" s="259">
        <v>31500</v>
      </c>
      <c r="F639" s="259">
        <v>54.039309737883613</v>
      </c>
      <c r="G639" s="260">
        <v>582.90899999999999</v>
      </c>
      <c r="H639" s="261" t="s">
        <v>583</v>
      </c>
      <c r="I639" s="261" t="s">
        <v>1226</v>
      </c>
      <c r="J639" s="261" t="s">
        <v>98</v>
      </c>
      <c r="K639" s="274" t="s">
        <v>1902</v>
      </c>
      <c r="L639" s="261" t="s">
        <v>155</v>
      </c>
      <c r="M639" s="257"/>
      <c r="N639" s="257"/>
      <c r="O639" s="257"/>
    </row>
    <row r="640" spans="1:15" hidden="1">
      <c r="A640" s="256">
        <v>45756</v>
      </c>
      <c r="B640" s="257" t="s">
        <v>1482</v>
      </c>
      <c r="C640" s="263" t="s">
        <v>177</v>
      </c>
      <c r="D640" s="258" t="s">
        <v>117</v>
      </c>
      <c r="E640" s="259">
        <v>90000</v>
      </c>
      <c r="F640" s="259">
        <v>154.39802782252463</v>
      </c>
      <c r="G640" s="260">
        <v>582.90899999999999</v>
      </c>
      <c r="H640" s="261" t="s">
        <v>187</v>
      </c>
      <c r="I640" s="261" t="s">
        <v>1297</v>
      </c>
      <c r="J640" s="261" t="s">
        <v>98</v>
      </c>
      <c r="K640" s="274" t="s">
        <v>1902</v>
      </c>
      <c r="L640" s="261" t="s">
        <v>155</v>
      </c>
      <c r="M640" s="257"/>
      <c r="N640" s="257"/>
      <c r="O640" s="257"/>
    </row>
    <row r="641" spans="1:15" hidden="1">
      <c r="A641" s="256">
        <v>45756</v>
      </c>
      <c r="B641" s="257" t="s">
        <v>550</v>
      </c>
      <c r="C641" s="263" t="s">
        <v>1163</v>
      </c>
      <c r="D641" s="257" t="s">
        <v>118</v>
      </c>
      <c r="E641" s="259">
        <v>25000</v>
      </c>
      <c r="F641" s="259">
        <v>42.88834106181239</v>
      </c>
      <c r="G641" s="260">
        <v>582.90899999999999</v>
      </c>
      <c r="H641" s="261" t="s">
        <v>190</v>
      </c>
      <c r="I641" s="261" t="s">
        <v>1318</v>
      </c>
      <c r="J641" s="261" t="s">
        <v>98</v>
      </c>
      <c r="K641" s="274" t="s">
        <v>1902</v>
      </c>
      <c r="L641" s="261" t="s">
        <v>155</v>
      </c>
      <c r="M641" s="257"/>
      <c r="N641" s="257"/>
      <c r="O641" s="257"/>
    </row>
    <row r="642" spans="1:15" hidden="1">
      <c r="A642" s="256">
        <v>45756</v>
      </c>
      <c r="B642" s="257" t="s">
        <v>1319</v>
      </c>
      <c r="C642" s="257" t="s">
        <v>174</v>
      </c>
      <c r="D642" s="258" t="s">
        <v>117</v>
      </c>
      <c r="E642" s="259">
        <v>36000</v>
      </c>
      <c r="F642" s="259">
        <v>61.759211129009849</v>
      </c>
      <c r="G642" s="260">
        <v>582.90899999999999</v>
      </c>
      <c r="H642" s="261" t="s">
        <v>190</v>
      </c>
      <c r="I642" s="261" t="s">
        <v>1320</v>
      </c>
      <c r="J642" s="261" t="s">
        <v>98</v>
      </c>
      <c r="K642" s="274" t="s">
        <v>1902</v>
      </c>
      <c r="L642" s="261" t="s">
        <v>155</v>
      </c>
      <c r="M642" s="257"/>
      <c r="N642" s="257"/>
      <c r="O642" s="257"/>
    </row>
    <row r="643" spans="1:15" hidden="1">
      <c r="A643" s="256">
        <v>45756</v>
      </c>
      <c r="B643" s="257" t="s">
        <v>1481</v>
      </c>
      <c r="C643" s="263" t="s">
        <v>177</v>
      </c>
      <c r="D643" s="258" t="s">
        <v>117</v>
      </c>
      <c r="E643" s="259">
        <v>50000</v>
      </c>
      <c r="F643" s="259">
        <v>85.776682123624781</v>
      </c>
      <c r="G643" s="260">
        <v>582.90899999999999</v>
      </c>
      <c r="H643" s="261" t="s">
        <v>190</v>
      </c>
      <c r="I643" s="261" t="s">
        <v>1321</v>
      </c>
      <c r="J643" s="261" t="s">
        <v>98</v>
      </c>
      <c r="K643" s="274" t="s">
        <v>1902</v>
      </c>
      <c r="L643" s="261" t="s">
        <v>155</v>
      </c>
      <c r="M643" s="257"/>
      <c r="N643" s="257"/>
      <c r="O643" s="257"/>
    </row>
    <row r="644" spans="1:15" hidden="1">
      <c r="A644" s="256">
        <v>45756</v>
      </c>
      <c r="B644" s="257" t="s">
        <v>1347</v>
      </c>
      <c r="C644" s="257" t="s">
        <v>174</v>
      </c>
      <c r="D644" s="258" t="s">
        <v>117</v>
      </c>
      <c r="E644" s="259">
        <v>8000</v>
      </c>
      <c r="F644" s="259">
        <v>13.724269139779965</v>
      </c>
      <c r="G644" s="260">
        <v>582.90899999999999</v>
      </c>
      <c r="H644" s="261" t="s">
        <v>193</v>
      </c>
      <c r="I644" s="261" t="s">
        <v>1348</v>
      </c>
      <c r="J644" s="261" t="s">
        <v>98</v>
      </c>
      <c r="K644" s="274" t="s">
        <v>1902</v>
      </c>
      <c r="L644" s="261" t="s">
        <v>155</v>
      </c>
      <c r="M644" s="257"/>
      <c r="N644" s="257"/>
      <c r="O644" s="257"/>
    </row>
    <row r="645" spans="1:15" hidden="1">
      <c r="A645" s="256">
        <v>45756</v>
      </c>
      <c r="B645" s="257" t="s">
        <v>1386</v>
      </c>
      <c r="C645" s="263" t="s">
        <v>177</v>
      </c>
      <c r="D645" s="258" t="s">
        <v>117</v>
      </c>
      <c r="E645" s="259">
        <v>90000</v>
      </c>
      <c r="F645" s="259">
        <v>154.39802782252463</v>
      </c>
      <c r="G645" s="260">
        <v>582.90899999999999</v>
      </c>
      <c r="H645" s="261" t="s">
        <v>437</v>
      </c>
      <c r="I645" s="261" t="s">
        <v>1387</v>
      </c>
      <c r="J645" s="261" t="s">
        <v>98</v>
      </c>
      <c r="K645" s="274" t="s">
        <v>1902</v>
      </c>
      <c r="L645" s="261" t="s">
        <v>155</v>
      </c>
      <c r="M645" s="257"/>
      <c r="N645" s="257"/>
      <c r="O645" s="257"/>
    </row>
    <row r="646" spans="1:15" hidden="1">
      <c r="A646" s="256">
        <v>45757</v>
      </c>
      <c r="B646" s="257" t="s">
        <v>1172</v>
      </c>
      <c r="C646" s="257" t="s">
        <v>174</v>
      </c>
      <c r="D646" s="258" t="s">
        <v>117</v>
      </c>
      <c r="E646" s="259">
        <v>7000</v>
      </c>
      <c r="F646" s="259">
        <v>12.00873549730747</v>
      </c>
      <c r="G646" s="260">
        <v>582.90899999999999</v>
      </c>
      <c r="H646" s="261" t="s">
        <v>200</v>
      </c>
      <c r="I646" s="261" t="s">
        <v>1173</v>
      </c>
      <c r="J646" s="261" t="s">
        <v>98</v>
      </c>
      <c r="K646" s="274" t="s">
        <v>1902</v>
      </c>
      <c r="L646" s="261" t="s">
        <v>155</v>
      </c>
      <c r="M646" s="257"/>
      <c r="N646" s="257"/>
      <c r="O646" s="257"/>
    </row>
    <row r="647" spans="1:15" hidden="1">
      <c r="A647" s="256">
        <v>45757</v>
      </c>
      <c r="B647" s="257" t="s">
        <v>1298</v>
      </c>
      <c r="C647" s="257" t="s">
        <v>313</v>
      </c>
      <c r="D647" s="258" t="s">
        <v>117</v>
      </c>
      <c r="E647" s="259">
        <v>2000</v>
      </c>
      <c r="F647" s="259">
        <v>3.4310672849449912</v>
      </c>
      <c r="G647" s="260">
        <v>582.90899999999999</v>
      </c>
      <c r="H647" s="261" t="s">
        <v>187</v>
      </c>
      <c r="I647" s="261" t="s">
        <v>1299</v>
      </c>
      <c r="J647" s="261" t="s">
        <v>98</v>
      </c>
      <c r="K647" s="274" t="s">
        <v>1902</v>
      </c>
      <c r="L647" s="261" t="s">
        <v>155</v>
      </c>
      <c r="M647" s="257"/>
      <c r="N647" s="257"/>
      <c r="O647" s="257"/>
    </row>
    <row r="648" spans="1:15" hidden="1">
      <c r="A648" s="256">
        <v>45757</v>
      </c>
      <c r="B648" s="257" t="s">
        <v>1300</v>
      </c>
      <c r="C648" s="257" t="s">
        <v>174</v>
      </c>
      <c r="D648" s="258" t="s">
        <v>117</v>
      </c>
      <c r="E648" s="259">
        <v>7000</v>
      </c>
      <c r="F648" s="259">
        <v>12.00873549730747</v>
      </c>
      <c r="G648" s="260">
        <v>582.90899999999999</v>
      </c>
      <c r="H648" s="261" t="s">
        <v>187</v>
      </c>
      <c r="I648" s="261" t="s">
        <v>1301</v>
      </c>
      <c r="J648" s="261" t="s">
        <v>98</v>
      </c>
      <c r="K648" s="274" t="s">
        <v>1902</v>
      </c>
      <c r="L648" s="261" t="s">
        <v>155</v>
      </c>
      <c r="M648" s="257"/>
      <c r="N648" s="257"/>
      <c r="O648" s="257"/>
    </row>
    <row r="649" spans="1:15" hidden="1">
      <c r="A649" s="256">
        <v>45757</v>
      </c>
      <c r="B649" s="257" t="s">
        <v>1349</v>
      </c>
      <c r="C649" s="257" t="s">
        <v>174</v>
      </c>
      <c r="D649" s="258" t="s">
        <v>117</v>
      </c>
      <c r="E649" s="259">
        <v>4000</v>
      </c>
      <c r="F649" s="259">
        <v>6.8621345698899825</v>
      </c>
      <c r="G649" s="260">
        <v>582.90899999999999</v>
      </c>
      <c r="H649" s="261" t="s">
        <v>193</v>
      </c>
      <c r="I649" s="261" t="s">
        <v>1350</v>
      </c>
      <c r="J649" s="261" t="s">
        <v>98</v>
      </c>
      <c r="K649" s="274" t="s">
        <v>1902</v>
      </c>
      <c r="L649" s="261" t="s">
        <v>155</v>
      </c>
      <c r="M649" s="257"/>
      <c r="N649" s="257"/>
      <c r="O649" s="257"/>
    </row>
    <row r="650" spans="1:15" hidden="1">
      <c r="A650" s="256">
        <v>45757</v>
      </c>
      <c r="B650" s="257" t="s">
        <v>1490</v>
      </c>
      <c r="C650" s="263" t="s">
        <v>177</v>
      </c>
      <c r="D650" s="258" t="s">
        <v>117</v>
      </c>
      <c r="E650" s="259">
        <v>80000</v>
      </c>
      <c r="F650" s="259">
        <v>137.24269139779966</v>
      </c>
      <c r="G650" s="260">
        <v>582.90899999999999</v>
      </c>
      <c r="H650" s="261" t="s">
        <v>193</v>
      </c>
      <c r="I650" s="261" t="s">
        <v>1351</v>
      </c>
      <c r="J650" s="261" t="s">
        <v>98</v>
      </c>
      <c r="K650" s="274" t="s">
        <v>1902</v>
      </c>
      <c r="L650" s="261" t="s">
        <v>155</v>
      </c>
      <c r="M650" s="257"/>
      <c r="N650" s="257"/>
      <c r="O650" s="257"/>
    </row>
    <row r="651" spans="1:15" hidden="1">
      <c r="A651" s="256">
        <v>45757</v>
      </c>
      <c r="B651" s="257" t="s">
        <v>1388</v>
      </c>
      <c r="C651" s="257" t="s">
        <v>196</v>
      </c>
      <c r="D651" s="258" t="s">
        <v>117</v>
      </c>
      <c r="E651" s="259">
        <v>7000</v>
      </c>
      <c r="F651" s="259">
        <v>12.00873549730747</v>
      </c>
      <c r="G651" s="260">
        <v>582.90899999999999</v>
      </c>
      <c r="H651" s="261" t="s">
        <v>437</v>
      </c>
      <c r="I651" s="261" t="s">
        <v>1389</v>
      </c>
      <c r="J651" s="261" t="s">
        <v>98</v>
      </c>
      <c r="K651" s="274" t="s">
        <v>1902</v>
      </c>
      <c r="L651" s="261" t="s">
        <v>155</v>
      </c>
      <c r="M651" s="257"/>
      <c r="N651" s="257"/>
      <c r="O651" s="257"/>
    </row>
    <row r="652" spans="1:15" hidden="1">
      <c r="A652" s="256">
        <v>45757</v>
      </c>
      <c r="B652" s="257" t="s">
        <v>1406</v>
      </c>
      <c r="C652" s="257" t="s">
        <v>174</v>
      </c>
      <c r="D652" s="257" t="s">
        <v>120</v>
      </c>
      <c r="E652" s="259">
        <v>7000</v>
      </c>
      <c r="F652" s="259">
        <v>12.00873549730747</v>
      </c>
      <c r="G652" s="260">
        <v>582.90899999999999</v>
      </c>
      <c r="H652" s="261" t="s">
        <v>213</v>
      </c>
      <c r="I652" s="261" t="s">
        <v>1407</v>
      </c>
      <c r="J652" s="261" t="s">
        <v>98</v>
      </c>
      <c r="K652" s="274" t="s">
        <v>1902</v>
      </c>
      <c r="L652" s="261" t="s">
        <v>155</v>
      </c>
      <c r="M652" s="257"/>
      <c r="N652" s="257"/>
      <c r="O652" s="257"/>
    </row>
    <row r="653" spans="1:15" hidden="1">
      <c r="A653" s="256">
        <v>45757</v>
      </c>
      <c r="B653" s="257" t="s">
        <v>770</v>
      </c>
      <c r="C653" s="264" t="s">
        <v>2086</v>
      </c>
      <c r="D653" s="257" t="s">
        <v>118</v>
      </c>
      <c r="E653" s="259">
        <v>5130</v>
      </c>
      <c r="F653" s="259">
        <v>8.8006875858839031</v>
      </c>
      <c r="G653" s="260">
        <v>582.90899999999999</v>
      </c>
      <c r="H653" s="261" t="s">
        <v>213</v>
      </c>
      <c r="I653" s="261" t="s">
        <v>1416</v>
      </c>
      <c r="J653" s="261" t="s">
        <v>98</v>
      </c>
      <c r="K653" s="274" t="s">
        <v>1902</v>
      </c>
      <c r="L653" s="261" t="s">
        <v>155</v>
      </c>
      <c r="M653" s="257"/>
      <c r="N653" s="257"/>
      <c r="O653" s="257"/>
    </row>
    <row r="654" spans="1:15" hidden="1">
      <c r="A654" s="256">
        <v>45758</v>
      </c>
      <c r="B654" s="257" t="s">
        <v>1174</v>
      </c>
      <c r="C654" s="263" t="s">
        <v>177</v>
      </c>
      <c r="D654" s="258" t="s">
        <v>117</v>
      </c>
      <c r="E654" s="259">
        <v>70000</v>
      </c>
      <c r="F654" s="259">
        <v>120.0873549730747</v>
      </c>
      <c r="G654" s="260">
        <v>582.90899999999999</v>
      </c>
      <c r="H654" s="261" t="s">
        <v>200</v>
      </c>
      <c r="I654" s="261" t="s">
        <v>1175</v>
      </c>
      <c r="J654" s="261" t="s">
        <v>98</v>
      </c>
      <c r="K654" s="274" t="s">
        <v>1902</v>
      </c>
      <c r="L654" s="261" t="s">
        <v>155</v>
      </c>
      <c r="M654" s="257"/>
      <c r="N654" s="257"/>
      <c r="O654" s="257"/>
    </row>
    <row r="655" spans="1:15" hidden="1">
      <c r="A655" s="256">
        <v>45758</v>
      </c>
      <c r="B655" s="257" t="s">
        <v>598</v>
      </c>
      <c r="C655" s="257" t="s">
        <v>152</v>
      </c>
      <c r="D655" s="258" t="s">
        <v>442</v>
      </c>
      <c r="E655" s="259">
        <v>15000</v>
      </c>
      <c r="F655" s="259">
        <v>25.733004637087436</v>
      </c>
      <c r="G655" s="260">
        <v>582.90899999999999</v>
      </c>
      <c r="H655" s="261" t="s">
        <v>583</v>
      </c>
      <c r="I655" s="261" t="s">
        <v>1227</v>
      </c>
      <c r="J655" s="261" t="s">
        <v>98</v>
      </c>
      <c r="K655" s="274" t="s">
        <v>1902</v>
      </c>
      <c r="L655" s="261" t="s">
        <v>155</v>
      </c>
      <c r="M655" s="257"/>
      <c r="N655" s="257"/>
      <c r="O655" s="257"/>
    </row>
    <row r="656" spans="1:15" hidden="1">
      <c r="A656" s="256">
        <v>45758</v>
      </c>
      <c r="B656" s="257" t="s">
        <v>2992</v>
      </c>
      <c r="C656" s="263" t="s">
        <v>177</v>
      </c>
      <c r="D656" s="258" t="s">
        <v>442</v>
      </c>
      <c r="E656" s="259">
        <v>45000</v>
      </c>
      <c r="F656" s="259">
        <v>77.199013911262313</v>
      </c>
      <c r="G656" s="260">
        <v>582.90899999999999</v>
      </c>
      <c r="H656" s="261" t="s">
        <v>175</v>
      </c>
      <c r="I656" s="261" t="s">
        <v>1259</v>
      </c>
      <c r="J656" s="261" t="s">
        <v>98</v>
      </c>
      <c r="K656" s="274" t="s">
        <v>1902</v>
      </c>
      <c r="L656" s="261" t="s">
        <v>155</v>
      </c>
      <c r="M656" s="257"/>
      <c r="N656" s="257"/>
      <c r="O656" s="257"/>
    </row>
    <row r="657" spans="1:15" hidden="1">
      <c r="A657" s="256">
        <v>45758</v>
      </c>
      <c r="B657" s="257" t="s">
        <v>2993</v>
      </c>
      <c r="C657" s="257" t="s">
        <v>174</v>
      </c>
      <c r="D657" s="258" t="s">
        <v>442</v>
      </c>
      <c r="E657" s="259">
        <v>8000</v>
      </c>
      <c r="F657" s="259">
        <v>13.724269139779965</v>
      </c>
      <c r="G657" s="260">
        <v>582.90899999999999</v>
      </c>
      <c r="H657" s="261" t="s">
        <v>175</v>
      </c>
      <c r="I657" s="261" t="s">
        <v>1260</v>
      </c>
      <c r="J657" s="261" t="s">
        <v>98</v>
      </c>
      <c r="K657" s="274" t="s">
        <v>1902</v>
      </c>
      <c r="L657" s="261" t="s">
        <v>155</v>
      </c>
      <c r="M657" s="257"/>
      <c r="N657" s="257"/>
      <c r="O657" s="257"/>
    </row>
    <row r="658" spans="1:15" hidden="1">
      <c r="A658" s="256">
        <v>45758</v>
      </c>
      <c r="B658" s="257" t="s">
        <v>3219</v>
      </c>
      <c r="C658" s="263" t="s">
        <v>177</v>
      </c>
      <c r="D658" s="258" t="s">
        <v>442</v>
      </c>
      <c r="E658" s="259">
        <v>45000</v>
      </c>
      <c r="F658" s="259">
        <v>77.199013911262313</v>
      </c>
      <c r="G658" s="260">
        <v>582.90899999999999</v>
      </c>
      <c r="H658" s="261" t="s">
        <v>323</v>
      </c>
      <c r="I658" s="261" t="s">
        <v>1281</v>
      </c>
      <c r="J658" s="261" t="s">
        <v>98</v>
      </c>
      <c r="K658" s="274" t="s">
        <v>1902</v>
      </c>
      <c r="L658" s="261" t="s">
        <v>155</v>
      </c>
      <c r="M658" s="257"/>
      <c r="N658" s="257"/>
      <c r="O658" s="257"/>
    </row>
    <row r="659" spans="1:15" hidden="1">
      <c r="A659" s="256">
        <v>45758</v>
      </c>
      <c r="B659" s="257" t="s">
        <v>3192</v>
      </c>
      <c r="C659" s="257" t="s">
        <v>174</v>
      </c>
      <c r="D659" s="258" t="s">
        <v>442</v>
      </c>
      <c r="E659" s="259">
        <v>5000</v>
      </c>
      <c r="F659" s="259">
        <v>8.5776682123624788</v>
      </c>
      <c r="G659" s="260">
        <v>582.90899999999999</v>
      </c>
      <c r="H659" s="261" t="s">
        <v>323</v>
      </c>
      <c r="I659" s="261" t="s">
        <v>1282</v>
      </c>
      <c r="J659" s="261" t="s">
        <v>98</v>
      </c>
      <c r="K659" s="274" t="s">
        <v>1902</v>
      </c>
      <c r="L659" s="261" t="s">
        <v>155</v>
      </c>
      <c r="M659" s="257"/>
      <c r="N659" s="257"/>
      <c r="O659" s="257"/>
    </row>
    <row r="660" spans="1:15" hidden="1">
      <c r="A660" s="256">
        <v>45758</v>
      </c>
      <c r="B660" s="257" t="s">
        <v>1483</v>
      </c>
      <c r="C660" s="263" t="s">
        <v>177</v>
      </c>
      <c r="D660" s="258" t="s">
        <v>117</v>
      </c>
      <c r="E660" s="259">
        <v>30000</v>
      </c>
      <c r="F660" s="259">
        <v>51.466009274174873</v>
      </c>
      <c r="G660" s="260">
        <v>582.90899999999999</v>
      </c>
      <c r="H660" s="261" t="s">
        <v>187</v>
      </c>
      <c r="I660" s="261" t="s">
        <v>1302</v>
      </c>
      <c r="J660" s="261" t="s">
        <v>98</v>
      </c>
      <c r="K660" s="274" t="s">
        <v>1902</v>
      </c>
      <c r="L660" s="261" t="s">
        <v>155</v>
      </c>
      <c r="M660" s="257"/>
      <c r="N660" s="257"/>
      <c r="O660" s="257"/>
    </row>
    <row r="661" spans="1:15" hidden="1">
      <c r="A661" s="256">
        <v>45758</v>
      </c>
      <c r="B661" s="257" t="s">
        <v>1322</v>
      </c>
      <c r="C661" s="264" t="s">
        <v>2086</v>
      </c>
      <c r="D661" s="257" t="s">
        <v>118</v>
      </c>
      <c r="E661" s="259">
        <v>14710</v>
      </c>
      <c r="F661" s="259">
        <v>25.235499880770412</v>
      </c>
      <c r="G661" s="260">
        <v>582.90899999999999</v>
      </c>
      <c r="H661" s="261" t="s">
        <v>190</v>
      </c>
      <c r="I661" s="261" t="s">
        <v>1323</v>
      </c>
      <c r="J661" s="261" t="s">
        <v>98</v>
      </c>
      <c r="K661" s="274" t="s">
        <v>1902</v>
      </c>
      <c r="L661" s="261" t="s">
        <v>155</v>
      </c>
      <c r="M661" s="257"/>
      <c r="N661" s="257"/>
      <c r="O661" s="257"/>
    </row>
    <row r="662" spans="1:15" hidden="1">
      <c r="A662" s="256">
        <v>45758</v>
      </c>
      <c r="B662" s="257" t="s">
        <v>1352</v>
      </c>
      <c r="C662" s="257" t="s">
        <v>313</v>
      </c>
      <c r="D662" s="258" t="s">
        <v>117</v>
      </c>
      <c r="E662" s="259">
        <v>6000</v>
      </c>
      <c r="F662" s="259">
        <v>10.293201854834974</v>
      </c>
      <c r="G662" s="260">
        <v>582.90899999999999</v>
      </c>
      <c r="H662" s="261" t="s">
        <v>193</v>
      </c>
      <c r="I662" s="261" t="s">
        <v>1353</v>
      </c>
      <c r="J662" s="261" t="s">
        <v>98</v>
      </c>
      <c r="K662" s="274" t="s">
        <v>1902</v>
      </c>
      <c r="L662" s="261" t="s">
        <v>155</v>
      </c>
      <c r="M662" s="257"/>
      <c r="N662" s="257"/>
      <c r="O662" s="257"/>
    </row>
    <row r="663" spans="1:15" hidden="1">
      <c r="A663" s="256">
        <v>45758</v>
      </c>
      <c r="B663" s="257" t="s">
        <v>1390</v>
      </c>
      <c r="C663" s="263" t="s">
        <v>177</v>
      </c>
      <c r="D663" s="258" t="s">
        <v>117</v>
      </c>
      <c r="E663" s="259">
        <v>30000</v>
      </c>
      <c r="F663" s="259">
        <v>51.466009274174873</v>
      </c>
      <c r="G663" s="260">
        <v>582.90899999999999</v>
      </c>
      <c r="H663" s="261" t="s">
        <v>437</v>
      </c>
      <c r="I663" s="261" t="s">
        <v>1391</v>
      </c>
      <c r="J663" s="261" t="s">
        <v>98</v>
      </c>
      <c r="K663" s="274" t="s">
        <v>1902</v>
      </c>
      <c r="L663" s="261" t="s">
        <v>155</v>
      </c>
      <c r="M663" s="257"/>
      <c r="N663" s="257"/>
      <c r="O663" s="257"/>
    </row>
    <row r="664" spans="1:15" hidden="1">
      <c r="A664" s="256">
        <v>45758</v>
      </c>
      <c r="B664" s="257" t="s">
        <v>1485</v>
      </c>
      <c r="C664" s="263" t="s">
        <v>177</v>
      </c>
      <c r="D664" s="257" t="s">
        <v>120</v>
      </c>
      <c r="E664" s="259">
        <v>70000</v>
      </c>
      <c r="F664" s="259">
        <v>120.0873549730747</v>
      </c>
      <c r="G664" s="260">
        <v>582.90899999999999</v>
      </c>
      <c r="H664" s="261" t="s">
        <v>213</v>
      </c>
      <c r="I664" s="261" t="s">
        <v>1408</v>
      </c>
      <c r="J664" s="261" t="s">
        <v>98</v>
      </c>
      <c r="K664" s="274" t="s">
        <v>1902</v>
      </c>
      <c r="L664" s="261" t="s">
        <v>155</v>
      </c>
      <c r="M664" s="257"/>
      <c r="N664" s="257"/>
      <c r="O664" s="257"/>
    </row>
    <row r="665" spans="1:15" hidden="1">
      <c r="A665" s="256">
        <v>45759</v>
      </c>
      <c r="B665" s="257" t="s">
        <v>1493</v>
      </c>
      <c r="C665" s="263" t="s">
        <v>177</v>
      </c>
      <c r="D665" s="258" t="s">
        <v>117</v>
      </c>
      <c r="E665" s="259">
        <v>30000</v>
      </c>
      <c r="F665" s="259">
        <v>51.466009274174873</v>
      </c>
      <c r="G665" s="260">
        <v>582.90899999999999</v>
      </c>
      <c r="H665" s="261" t="s">
        <v>193</v>
      </c>
      <c r="I665" s="261" t="s">
        <v>1354</v>
      </c>
      <c r="J665" s="261" t="s">
        <v>98</v>
      </c>
      <c r="K665" s="274" t="s">
        <v>1902</v>
      </c>
      <c r="L665" s="261" t="s">
        <v>155</v>
      </c>
      <c r="M665" s="257"/>
      <c r="N665" s="257"/>
      <c r="O665" s="257"/>
    </row>
    <row r="666" spans="1:15" hidden="1">
      <c r="A666" s="256">
        <v>45759</v>
      </c>
      <c r="B666" s="257" t="s">
        <v>1355</v>
      </c>
      <c r="C666" s="257" t="s">
        <v>174</v>
      </c>
      <c r="D666" s="258" t="s">
        <v>117</v>
      </c>
      <c r="E666" s="259">
        <v>5000</v>
      </c>
      <c r="F666" s="259">
        <v>8.5776682123624788</v>
      </c>
      <c r="G666" s="260">
        <v>582.90899999999999</v>
      </c>
      <c r="H666" s="261" t="s">
        <v>193</v>
      </c>
      <c r="I666" s="261" t="s">
        <v>1356</v>
      </c>
      <c r="J666" s="261" t="s">
        <v>98</v>
      </c>
      <c r="K666" s="274" t="s">
        <v>1902</v>
      </c>
      <c r="L666" s="261" t="s">
        <v>155</v>
      </c>
      <c r="M666" s="257"/>
      <c r="N666" s="257"/>
      <c r="O666" s="257"/>
    </row>
    <row r="667" spans="1:15" hidden="1">
      <c r="A667" s="256">
        <v>45759</v>
      </c>
      <c r="B667" s="257" t="s">
        <v>1357</v>
      </c>
      <c r="C667" s="257" t="s">
        <v>174</v>
      </c>
      <c r="D667" s="258" t="s">
        <v>117</v>
      </c>
      <c r="E667" s="259">
        <v>2000</v>
      </c>
      <c r="F667" s="259">
        <v>3.4310672849449912</v>
      </c>
      <c r="G667" s="260">
        <v>582.90899999999999</v>
      </c>
      <c r="H667" s="261" t="s">
        <v>193</v>
      </c>
      <c r="I667" s="261" t="s">
        <v>1358</v>
      </c>
      <c r="J667" s="261" t="s">
        <v>98</v>
      </c>
      <c r="K667" s="274" t="s">
        <v>1902</v>
      </c>
      <c r="L667" s="261" t="s">
        <v>155</v>
      </c>
      <c r="M667" s="257"/>
      <c r="N667" s="257"/>
      <c r="O667" s="257"/>
    </row>
    <row r="668" spans="1:15" hidden="1">
      <c r="A668" s="256">
        <v>45760</v>
      </c>
      <c r="B668" s="257" t="s">
        <v>1176</v>
      </c>
      <c r="C668" s="263" t="s">
        <v>177</v>
      </c>
      <c r="D668" s="258" t="s">
        <v>117</v>
      </c>
      <c r="E668" s="259">
        <v>30000</v>
      </c>
      <c r="F668" s="259">
        <v>51.466009274174873</v>
      </c>
      <c r="G668" s="260">
        <v>582.90899999999999</v>
      </c>
      <c r="H668" s="261" t="s">
        <v>200</v>
      </c>
      <c r="I668" s="261" t="s">
        <v>1177</v>
      </c>
      <c r="J668" s="261" t="s">
        <v>98</v>
      </c>
      <c r="K668" s="274" t="s">
        <v>1902</v>
      </c>
      <c r="L668" s="261" t="s">
        <v>155</v>
      </c>
      <c r="M668" s="257"/>
      <c r="N668" s="257"/>
      <c r="O668" s="257"/>
    </row>
    <row r="669" spans="1:15" hidden="1">
      <c r="A669" s="256">
        <v>45760</v>
      </c>
      <c r="B669" s="257" t="s">
        <v>3026</v>
      </c>
      <c r="C669" s="263" t="s">
        <v>177</v>
      </c>
      <c r="D669" s="258" t="s">
        <v>442</v>
      </c>
      <c r="E669" s="259">
        <v>135000</v>
      </c>
      <c r="F669" s="259">
        <v>231.59704173378694</v>
      </c>
      <c r="G669" s="260">
        <v>582.90899999999999</v>
      </c>
      <c r="H669" s="261" t="s">
        <v>184</v>
      </c>
      <c r="I669" s="261" t="s">
        <v>1472</v>
      </c>
      <c r="J669" s="261" t="s">
        <v>98</v>
      </c>
      <c r="K669" s="274" t="s">
        <v>1902</v>
      </c>
      <c r="L669" s="261" t="s">
        <v>155</v>
      </c>
      <c r="M669" s="257"/>
      <c r="N669" s="257"/>
      <c r="O669" s="257"/>
    </row>
    <row r="670" spans="1:15" hidden="1">
      <c r="A670" s="256">
        <v>45760</v>
      </c>
      <c r="B670" s="257" t="s">
        <v>2992</v>
      </c>
      <c r="C670" s="263" t="s">
        <v>177</v>
      </c>
      <c r="D670" s="258" t="s">
        <v>442</v>
      </c>
      <c r="E670" s="259">
        <v>30000</v>
      </c>
      <c r="F670" s="259">
        <v>51.466009274174873</v>
      </c>
      <c r="G670" s="260">
        <v>582.90899999999999</v>
      </c>
      <c r="H670" s="261" t="s">
        <v>175</v>
      </c>
      <c r="I670" s="261" t="s">
        <v>1261</v>
      </c>
      <c r="J670" s="261" t="s">
        <v>98</v>
      </c>
      <c r="K670" s="274" t="s">
        <v>1902</v>
      </c>
      <c r="L670" s="261" t="s">
        <v>155</v>
      </c>
      <c r="M670" s="257"/>
      <c r="N670" s="257"/>
      <c r="O670" s="257"/>
    </row>
    <row r="671" spans="1:15" hidden="1">
      <c r="A671" s="256">
        <v>45760</v>
      </c>
      <c r="B671" s="257" t="s">
        <v>2990</v>
      </c>
      <c r="C671" s="257" t="s">
        <v>174</v>
      </c>
      <c r="D671" s="258" t="s">
        <v>442</v>
      </c>
      <c r="E671" s="259">
        <v>5000</v>
      </c>
      <c r="F671" s="259">
        <v>8.5776682123624788</v>
      </c>
      <c r="G671" s="260">
        <v>582.90899999999999</v>
      </c>
      <c r="H671" s="261" t="s">
        <v>175</v>
      </c>
      <c r="I671" s="261" t="s">
        <v>1262</v>
      </c>
      <c r="J671" s="261" t="s">
        <v>98</v>
      </c>
      <c r="K671" s="274" t="s">
        <v>1902</v>
      </c>
      <c r="L671" s="261" t="s">
        <v>155</v>
      </c>
      <c r="M671" s="257"/>
      <c r="N671" s="257"/>
      <c r="O671" s="257"/>
    </row>
    <row r="672" spans="1:15" hidden="1">
      <c r="A672" s="256">
        <v>45760</v>
      </c>
      <c r="B672" s="257" t="s">
        <v>3220</v>
      </c>
      <c r="C672" s="263" t="s">
        <v>177</v>
      </c>
      <c r="D672" s="258" t="s">
        <v>442</v>
      </c>
      <c r="E672" s="259">
        <v>30000</v>
      </c>
      <c r="F672" s="259">
        <v>51.466009274174873</v>
      </c>
      <c r="G672" s="260">
        <v>582.90899999999999</v>
      </c>
      <c r="H672" s="261" t="s">
        <v>323</v>
      </c>
      <c r="I672" s="261" t="s">
        <v>1283</v>
      </c>
      <c r="J672" s="261" t="s">
        <v>98</v>
      </c>
      <c r="K672" s="274" t="s">
        <v>1902</v>
      </c>
      <c r="L672" s="261" t="s">
        <v>155</v>
      </c>
      <c r="M672" s="257"/>
      <c r="N672" s="257"/>
      <c r="O672" s="257"/>
    </row>
    <row r="673" spans="1:15" hidden="1">
      <c r="A673" s="256">
        <v>45760</v>
      </c>
      <c r="B673" s="257" t="s">
        <v>3192</v>
      </c>
      <c r="C673" s="257" t="s">
        <v>174</v>
      </c>
      <c r="D673" s="258" t="s">
        <v>442</v>
      </c>
      <c r="E673" s="259">
        <v>8000</v>
      </c>
      <c r="F673" s="259">
        <v>13.724269139779965</v>
      </c>
      <c r="G673" s="260">
        <v>582.90899999999999</v>
      </c>
      <c r="H673" s="261" t="s">
        <v>323</v>
      </c>
      <c r="I673" s="261" t="s">
        <v>1284</v>
      </c>
      <c r="J673" s="261" t="s">
        <v>98</v>
      </c>
      <c r="K673" s="274" t="s">
        <v>1902</v>
      </c>
      <c r="L673" s="261" t="s">
        <v>155</v>
      </c>
      <c r="M673" s="257"/>
      <c r="N673" s="257"/>
      <c r="O673" s="257"/>
    </row>
    <row r="674" spans="1:15" hidden="1">
      <c r="A674" s="256">
        <v>45761</v>
      </c>
      <c r="B674" s="257" t="s">
        <v>3221</v>
      </c>
      <c r="C674" s="263" t="s">
        <v>177</v>
      </c>
      <c r="D674" s="258" t="s">
        <v>442</v>
      </c>
      <c r="E674" s="259">
        <v>15000</v>
      </c>
      <c r="F674" s="259">
        <v>25.733004637087436</v>
      </c>
      <c r="G674" s="260">
        <v>582.90899999999999</v>
      </c>
      <c r="H674" s="261" t="s">
        <v>323</v>
      </c>
      <c r="I674" s="261" t="s">
        <v>1285</v>
      </c>
      <c r="J674" s="261" t="s">
        <v>98</v>
      </c>
      <c r="K674" s="274" t="s">
        <v>1902</v>
      </c>
      <c r="L674" s="261" t="s">
        <v>155</v>
      </c>
      <c r="M674" s="257"/>
      <c r="N674" s="257"/>
      <c r="O674" s="257"/>
    </row>
    <row r="675" spans="1:15" hidden="1">
      <c r="A675" s="256">
        <v>45761</v>
      </c>
      <c r="B675" s="257" t="s">
        <v>3199</v>
      </c>
      <c r="C675" s="257" t="s">
        <v>174</v>
      </c>
      <c r="D675" s="258" t="s">
        <v>442</v>
      </c>
      <c r="E675" s="259">
        <v>3000</v>
      </c>
      <c r="F675" s="259">
        <v>5.1466009274174871</v>
      </c>
      <c r="G675" s="260">
        <v>582.90899999999999</v>
      </c>
      <c r="H675" s="261" t="s">
        <v>323</v>
      </c>
      <c r="I675" s="261" t="s">
        <v>1286</v>
      </c>
      <c r="J675" s="261" t="s">
        <v>98</v>
      </c>
      <c r="K675" s="274" t="s">
        <v>1902</v>
      </c>
      <c r="L675" s="261" t="s">
        <v>155</v>
      </c>
      <c r="M675" s="257"/>
      <c r="N675" s="257"/>
      <c r="O675" s="257"/>
    </row>
    <row r="676" spans="1:15" hidden="1">
      <c r="A676" s="256">
        <v>45761</v>
      </c>
      <c r="B676" s="257" t="s">
        <v>3222</v>
      </c>
      <c r="C676" s="257" t="s">
        <v>174</v>
      </c>
      <c r="D676" s="258" t="s">
        <v>442</v>
      </c>
      <c r="E676" s="259">
        <v>10000</v>
      </c>
      <c r="F676" s="259">
        <v>17.155336424724958</v>
      </c>
      <c r="G676" s="260">
        <v>582.90899999999999</v>
      </c>
      <c r="H676" s="261" t="s">
        <v>323</v>
      </c>
      <c r="I676" s="261" t="s">
        <v>1287</v>
      </c>
      <c r="J676" s="261" t="s">
        <v>98</v>
      </c>
      <c r="K676" s="274" t="s">
        <v>1902</v>
      </c>
      <c r="L676" s="261" t="s">
        <v>155</v>
      </c>
      <c r="M676" s="257"/>
      <c r="N676" s="257"/>
      <c r="O676" s="257"/>
    </row>
    <row r="677" spans="1:15" hidden="1">
      <c r="A677" s="256">
        <v>45761</v>
      </c>
      <c r="B677" s="257" t="s">
        <v>1308</v>
      </c>
      <c r="C677" s="257" t="s">
        <v>174</v>
      </c>
      <c r="D677" s="258" t="s">
        <v>117</v>
      </c>
      <c r="E677" s="259">
        <v>7000</v>
      </c>
      <c r="F677" s="259">
        <v>12.00873549730747</v>
      </c>
      <c r="G677" s="260">
        <v>582.90899999999999</v>
      </c>
      <c r="H677" s="261" t="s">
        <v>190</v>
      </c>
      <c r="I677" s="261" t="s">
        <v>1309</v>
      </c>
      <c r="J677" s="261" t="s">
        <v>98</v>
      </c>
      <c r="K677" s="274" t="s">
        <v>1902</v>
      </c>
      <c r="L677" s="261" t="s">
        <v>155</v>
      </c>
      <c r="M677" s="257"/>
      <c r="N677" s="257"/>
      <c r="O677" s="257"/>
    </row>
    <row r="678" spans="1:15" hidden="1">
      <c r="A678" s="256">
        <v>45761</v>
      </c>
      <c r="B678" s="257" t="s">
        <v>1324</v>
      </c>
      <c r="C678" s="264" t="s">
        <v>2086</v>
      </c>
      <c r="D678" s="257" t="s">
        <v>118</v>
      </c>
      <c r="E678" s="259">
        <v>14390</v>
      </c>
      <c r="F678" s="259">
        <v>24.686529115179212</v>
      </c>
      <c r="G678" s="260">
        <v>582.90899999999999</v>
      </c>
      <c r="H678" s="261" t="s">
        <v>190</v>
      </c>
      <c r="I678" s="261" t="s">
        <v>1325</v>
      </c>
      <c r="J678" s="261" t="s">
        <v>98</v>
      </c>
      <c r="K678" s="274" t="s">
        <v>1902</v>
      </c>
      <c r="L678" s="261" t="s">
        <v>155</v>
      </c>
      <c r="M678" s="257"/>
      <c r="N678" s="257"/>
      <c r="O678" s="257"/>
    </row>
    <row r="679" spans="1:15" hidden="1">
      <c r="A679" s="256">
        <v>45761</v>
      </c>
      <c r="B679" s="257" t="s">
        <v>1326</v>
      </c>
      <c r="C679" s="257" t="s">
        <v>174</v>
      </c>
      <c r="D679" s="258" t="s">
        <v>117</v>
      </c>
      <c r="E679" s="259">
        <v>20000</v>
      </c>
      <c r="F679" s="259">
        <v>34.310672849449915</v>
      </c>
      <c r="G679" s="260">
        <v>582.90899999999999</v>
      </c>
      <c r="H679" s="261" t="s">
        <v>190</v>
      </c>
      <c r="I679" s="261" t="s">
        <v>1327</v>
      </c>
      <c r="J679" s="261" t="s">
        <v>98</v>
      </c>
      <c r="K679" s="274" t="s">
        <v>1902</v>
      </c>
      <c r="L679" s="261" t="s">
        <v>155</v>
      </c>
      <c r="M679" s="257"/>
      <c r="N679" s="257"/>
      <c r="O679" s="257"/>
    </row>
    <row r="680" spans="1:15" hidden="1">
      <c r="A680" s="256">
        <v>45761</v>
      </c>
      <c r="B680" s="257" t="s">
        <v>1328</v>
      </c>
      <c r="C680" s="263" t="s">
        <v>177</v>
      </c>
      <c r="D680" s="258" t="s">
        <v>117</v>
      </c>
      <c r="E680" s="259">
        <v>50000</v>
      </c>
      <c r="F680" s="259">
        <v>85.776682123624781</v>
      </c>
      <c r="G680" s="260">
        <v>582.90899999999999</v>
      </c>
      <c r="H680" s="261" t="s">
        <v>190</v>
      </c>
      <c r="I680" s="261" t="s">
        <v>1329</v>
      </c>
      <c r="J680" s="261" t="s">
        <v>98</v>
      </c>
      <c r="K680" s="274" t="s">
        <v>1902</v>
      </c>
      <c r="L680" s="261" t="s">
        <v>155</v>
      </c>
      <c r="M680" s="257"/>
      <c r="N680" s="257"/>
      <c r="O680" s="257"/>
    </row>
    <row r="681" spans="1:15" hidden="1">
      <c r="A681" s="256">
        <v>45761</v>
      </c>
      <c r="B681" s="257" t="s">
        <v>1330</v>
      </c>
      <c r="C681" s="257" t="s">
        <v>174</v>
      </c>
      <c r="D681" s="258" t="s">
        <v>117</v>
      </c>
      <c r="E681" s="259">
        <v>20000</v>
      </c>
      <c r="F681" s="259">
        <v>34.310672849449915</v>
      </c>
      <c r="G681" s="260">
        <v>582.90899999999999</v>
      </c>
      <c r="H681" s="261" t="s">
        <v>190</v>
      </c>
      <c r="I681" s="261" t="s">
        <v>1331</v>
      </c>
      <c r="J681" s="261" t="s">
        <v>98</v>
      </c>
      <c r="K681" s="274" t="s">
        <v>1902</v>
      </c>
      <c r="L681" s="261" t="s">
        <v>155</v>
      </c>
      <c r="M681" s="257"/>
      <c r="N681" s="257"/>
      <c r="O681" s="257"/>
    </row>
    <row r="682" spans="1:15" hidden="1">
      <c r="A682" s="256">
        <v>45761</v>
      </c>
      <c r="B682" s="257" t="s">
        <v>1332</v>
      </c>
      <c r="C682" s="263" t="s">
        <v>177</v>
      </c>
      <c r="D682" s="258" t="s">
        <v>117</v>
      </c>
      <c r="E682" s="259">
        <v>50000</v>
      </c>
      <c r="F682" s="259">
        <v>85.776682123624781</v>
      </c>
      <c r="G682" s="260">
        <v>582.90899999999999</v>
      </c>
      <c r="H682" s="261" t="s">
        <v>190</v>
      </c>
      <c r="I682" s="261" t="s">
        <v>1333</v>
      </c>
      <c r="J682" s="261" t="s">
        <v>98</v>
      </c>
      <c r="K682" s="274" t="s">
        <v>1902</v>
      </c>
      <c r="L682" s="261" t="s">
        <v>155</v>
      </c>
      <c r="M682" s="257"/>
      <c r="N682" s="257"/>
      <c r="O682" s="257"/>
    </row>
    <row r="683" spans="1:15" hidden="1">
      <c r="A683" s="256">
        <v>45761</v>
      </c>
      <c r="B683" s="257" t="s">
        <v>1425</v>
      </c>
      <c r="C683" s="257" t="s">
        <v>127</v>
      </c>
      <c r="D683" s="258" t="s">
        <v>117</v>
      </c>
      <c r="E683" s="259">
        <v>368700</v>
      </c>
      <c r="F683" s="259">
        <v>632.51725397960922</v>
      </c>
      <c r="G683" s="260">
        <v>582.90899999999999</v>
      </c>
      <c r="H683" s="261" t="s">
        <v>148</v>
      </c>
      <c r="I683" s="261" t="s">
        <v>1444</v>
      </c>
      <c r="J683" s="261" t="s">
        <v>98</v>
      </c>
      <c r="K683" s="274" t="s">
        <v>1902</v>
      </c>
      <c r="L683" s="261" t="s">
        <v>155</v>
      </c>
      <c r="M683" s="257"/>
      <c r="N683" s="257"/>
      <c r="O683" s="257"/>
    </row>
    <row r="684" spans="1:15" hidden="1">
      <c r="A684" s="256">
        <v>45761</v>
      </c>
      <c r="B684" s="257" t="s">
        <v>1426</v>
      </c>
      <c r="C684" s="257" t="s">
        <v>127</v>
      </c>
      <c r="D684" s="258" t="s">
        <v>117</v>
      </c>
      <c r="E684" s="259">
        <v>107230</v>
      </c>
      <c r="F684" s="259">
        <v>183.95667248232573</v>
      </c>
      <c r="G684" s="260">
        <v>582.90899999999999</v>
      </c>
      <c r="H684" s="261" t="s">
        <v>148</v>
      </c>
      <c r="I684" s="261" t="s">
        <v>1445</v>
      </c>
      <c r="J684" s="261" t="s">
        <v>98</v>
      </c>
      <c r="K684" s="274" t="s">
        <v>1902</v>
      </c>
      <c r="L684" s="261" t="s">
        <v>155</v>
      </c>
      <c r="M684" s="257"/>
      <c r="N684" s="257"/>
      <c r="O684" s="257"/>
    </row>
    <row r="685" spans="1:15" hidden="1">
      <c r="A685" s="256">
        <v>45761</v>
      </c>
      <c r="B685" s="257" t="s">
        <v>1427</v>
      </c>
      <c r="C685" s="257" t="s">
        <v>127</v>
      </c>
      <c r="D685" s="258" t="s">
        <v>117</v>
      </c>
      <c r="E685" s="259">
        <v>103494</v>
      </c>
      <c r="F685" s="259">
        <v>177.54743879404847</v>
      </c>
      <c r="G685" s="260">
        <v>582.90899999999999</v>
      </c>
      <c r="H685" s="261" t="s">
        <v>148</v>
      </c>
      <c r="I685" s="261" t="s">
        <v>1446</v>
      </c>
      <c r="J685" s="261" t="s">
        <v>98</v>
      </c>
      <c r="K685" s="274" t="s">
        <v>1902</v>
      </c>
      <c r="L685" s="261" t="s">
        <v>155</v>
      </c>
      <c r="M685" s="257"/>
      <c r="N685" s="257"/>
      <c r="O685" s="257"/>
    </row>
    <row r="686" spans="1:15" hidden="1">
      <c r="A686" s="256">
        <v>45761</v>
      </c>
      <c r="B686" s="257" t="s">
        <v>1428</v>
      </c>
      <c r="C686" s="257" t="s">
        <v>127</v>
      </c>
      <c r="D686" s="258" t="s">
        <v>117</v>
      </c>
      <c r="E686" s="259">
        <v>103494</v>
      </c>
      <c r="F686" s="259">
        <v>177.54743879404847</v>
      </c>
      <c r="G686" s="260">
        <v>582.90899999999999</v>
      </c>
      <c r="H686" s="261" t="s">
        <v>148</v>
      </c>
      <c r="I686" s="261" t="s">
        <v>1447</v>
      </c>
      <c r="J686" s="261" t="s">
        <v>98</v>
      </c>
      <c r="K686" s="274" t="s">
        <v>1902</v>
      </c>
      <c r="L686" s="261" t="s">
        <v>155</v>
      </c>
      <c r="M686" s="257"/>
      <c r="N686" s="257"/>
      <c r="O686" s="257"/>
    </row>
    <row r="687" spans="1:15" hidden="1">
      <c r="A687" s="256">
        <v>45761</v>
      </c>
      <c r="B687" s="257" t="s">
        <v>1429</v>
      </c>
      <c r="C687" s="257" t="s">
        <v>127</v>
      </c>
      <c r="D687" s="258" t="s">
        <v>117</v>
      </c>
      <c r="E687" s="259">
        <v>103494</v>
      </c>
      <c r="F687" s="259">
        <v>177.54743879404847</v>
      </c>
      <c r="G687" s="260">
        <v>582.90899999999999</v>
      </c>
      <c r="H687" s="261" t="s">
        <v>148</v>
      </c>
      <c r="I687" s="261" t="s">
        <v>1448</v>
      </c>
      <c r="J687" s="261" t="s">
        <v>98</v>
      </c>
      <c r="K687" s="274" t="s">
        <v>1902</v>
      </c>
      <c r="L687" s="261" t="s">
        <v>155</v>
      </c>
      <c r="M687" s="257"/>
      <c r="N687" s="257"/>
      <c r="O687" s="257"/>
    </row>
    <row r="688" spans="1:15" hidden="1">
      <c r="A688" s="256">
        <v>45761</v>
      </c>
      <c r="B688" s="257" t="s">
        <v>1430</v>
      </c>
      <c r="C688" s="257" t="s">
        <v>127</v>
      </c>
      <c r="D688" s="257" t="s">
        <v>118</v>
      </c>
      <c r="E688" s="259">
        <v>65179</v>
      </c>
      <c r="F688" s="259">
        <v>111.81676728271479</v>
      </c>
      <c r="G688" s="260">
        <v>582.90899999999999</v>
      </c>
      <c r="H688" s="261" t="s">
        <v>148</v>
      </c>
      <c r="I688" s="261" t="s">
        <v>1449</v>
      </c>
      <c r="J688" s="261" t="s">
        <v>98</v>
      </c>
      <c r="K688" s="274" t="s">
        <v>1902</v>
      </c>
      <c r="L688" s="261" t="s">
        <v>155</v>
      </c>
      <c r="M688" s="257"/>
      <c r="N688" s="257"/>
      <c r="O688" s="257"/>
    </row>
    <row r="689" spans="1:15" hidden="1">
      <c r="A689" s="256">
        <v>45761</v>
      </c>
      <c r="B689" s="257" t="s">
        <v>1431</v>
      </c>
      <c r="C689" s="257" t="s">
        <v>127</v>
      </c>
      <c r="D689" s="257" t="s">
        <v>118</v>
      </c>
      <c r="E689" s="259">
        <v>256525</v>
      </c>
      <c r="F689" s="259">
        <v>440.07726763525699</v>
      </c>
      <c r="G689" s="260">
        <v>582.90899999999999</v>
      </c>
      <c r="H689" s="261" t="s">
        <v>148</v>
      </c>
      <c r="I689" s="261" t="s">
        <v>1450</v>
      </c>
      <c r="J689" s="261" t="s">
        <v>98</v>
      </c>
      <c r="K689" s="274" t="s">
        <v>1902</v>
      </c>
      <c r="L689" s="261" t="s">
        <v>155</v>
      </c>
      <c r="M689" s="257"/>
      <c r="N689" s="257"/>
      <c r="O689" s="257"/>
    </row>
    <row r="690" spans="1:15" hidden="1">
      <c r="A690" s="256">
        <v>45761</v>
      </c>
      <c r="B690" s="257" t="s">
        <v>1432</v>
      </c>
      <c r="C690" s="257" t="s">
        <v>127</v>
      </c>
      <c r="D690" s="257" t="s">
        <v>120</v>
      </c>
      <c r="E690" s="259">
        <v>127560</v>
      </c>
      <c r="F690" s="259">
        <v>218.83347143379154</v>
      </c>
      <c r="G690" s="260">
        <v>582.90899999999999</v>
      </c>
      <c r="H690" s="261" t="s">
        <v>148</v>
      </c>
      <c r="I690" s="261" t="s">
        <v>1451</v>
      </c>
      <c r="J690" s="261" t="s">
        <v>98</v>
      </c>
      <c r="K690" s="274" t="s">
        <v>1902</v>
      </c>
      <c r="L690" s="261" t="s">
        <v>155</v>
      </c>
      <c r="M690" s="257"/>
      <c r="N690" s="257"/>
      <c r="O690" s="257"/>
    </row>
    <row r="691" spans="1:15" hidden="1">
      <c r="A691" s="256">
        <v>45762</v>
      </c>
      <c r="B691" s="257" t="s">
        <v>1185</v>
      </c>
      <c r="C691" s="257" t="s">
        <v>304</v>
      </c>
      <c r="D691" s="257" t="s">
        <v>118</v>
      </c>
      <c r="E691" s="259">
        <v>11000</v>
      </c>
      <c r="F691" s="259">
        <v>18.870870067197455</v>
      </c>
      <c r="G691" s="260">
        <v>582.90899999999999</v>
      </c>
      <c r="H691" s="261" t="s">
        <v>153</v>
      </c>
      <c r="I691" s="261" t="s">
        <v>1186</v>
      </c>
      <c r="J691" s="261" t="s">
        <v>98</v>
      </c>
      <c r="K691" s="274" t="s">
        <v>1902</v>
      </c>
      <c r="L691" s="261" t="s">
        <v>155</v>
      </c>
      <c r="M691" s="257"/>
      <c r="N691" s="257"/>
      <c r="O691" s="257"/>
    </row>
    <row r="692" spans="1:15" hidden="1">
      <c r="A692" s="256">
        <v>45762</v>
      </c>
      <c r="B692" s="257" t="s">
        <v>1228</v>
      </c>
      <c r="C692" s="263" t="s">
        <v>126</v>
      </c>
      <c r="D692" s="257" t="s">
        <v>118</v>
      </c>
      <c r="E692" s="259">
        <v>25500</v>
      </c>
      <c r="F692" s="259">
        <v>43.746107883048644</v>
      </c>
      <c r="G692" s="260">
        <v>582.90899999999999</v>
      </c>
      <c r="H692" s="261" t="s">
        <v>583</v>
      </c>
      <c r="I692" s="261" t="s">
        <v>1229</v>
      </c>
      <c r="J692" s="261" t="s">
        <v>98</v>
      </c>
      <c r="K692" s="274" t="s">
        <v>1902</v>
      </c>
      <c r="L692" s="261" t="s">
        <v>155</v>
      </c>
      <c r="M692" s="257"/>
      <c r="N692" s="257"/>
      <c r="O692" s="257"/>
    </row>
    <row r="693" spans="1:15" hidden="1">
      <c r="A693" s="256">
        <v>45762</v>
      </c>
      <c r="B693" s="257" t="s">
        <v>770</v>
      </c>
      <c r="C693" s="264" t="s">
        <v>2086</v>
      </c>
      <c r="D693" s="257" t="s">
        <v>118</v>
      </c>
      <c r="E693" s="259">
        <v>5950</v>
      </c>
      <c r="F693" s="259">
        <v>10.20742517271135</v>
      </c>
      <c r="G693" s="260">
        <v>582.90899999999999</v>
      </c>
      <c r="H693" s="261" t="s">
        <v>583</v>
      </c>
      <c r="I693" s="261" t="s">
        <v>1230</v>
      </c>
      <c r="J693" s="261" t="s">
        <v>98</v>
      </c>
      <c r="K693" s="274" t="s">
        <v>1902</v>
      </c>
      <c r="L693" s="261" t="s">
        <v>155</v>
      </c>
      <c r="M693" s="257"/>
      <c r="N693" s="257"/>
      <c r="O693" s="257"/>
    </row>
    <row r="694" spans="1:15" hidden="1">
      <c r="A694" s="256">
        <v>45762</v>
      </c>
      <c r="B694" s="257" t="s">
        <v>1231</v>
      </c>
      <c r="C694" s="257" t="s">
        <v>152</v>
      </c>
      <c r="D694" s="257" t="s">
        <v>119</v>
      </c>
      <c r="E694" s="259">
        <v>20000</v>
      </c>
      <c r="F694" s="259">
        <v>34.310672849449915</v>
      </c>
      <c r="G694" s="260">
        <v>582.90899999999999</v>
      </c>
      <c r="H694" s="261" t="s">
        <v>583</v>
      </c>
      <c r="I694" s="261" t="s">
        <v>1232</v>
      </c>
      <c r="J694" s="261" t="s">
        <v>98</v>
      </c>
      <c r="K694" s="274" t="s">
        <v>1902</v>
      </c>
      <c r="L694" s="261" t="s">
        <v>155</v>
      </c>
      <c r="M694" s="257"/>
      <c r="N694" s="257"/>
      <c r="O694" s="257"/>
    </row>
    <row r="695" spans="1:15" hidden="1">
      <c r="A695" s="256">
        <v>45762</v>
      </c>
      <c r="B695" s="257" t="s">
        <v>1233</v>
      </c>
      <c r="C695" s="257" t="s">
        <v>152</v>
      </c>
      <c r="D695" s="258" t="s">
        <v>117</v>
      </c>
      <c r="E695" s="259">
        <v>40000</v>
      </c>
      <c r="F695" s="259">
        <v>68.62134569889983</v>
      </c>
      <c r="G695" s="260">
        <v>582.90899999999999</v>
      </c>
      <c r="H695" s="261" t="s">
        <v>583</v>
      </c>
      <c r="I695" s="261" t="s">
        <v>1234</v>
      </c>
      <c r="J695" s="261" t="s">
        <v>98</v>
      </c>
      <c r="K695" s="274" t="s">
        <v>1902</v>
      </c>
      <c r="L695" s="261" t="s">
        <v>155</v>
      </c>
      <c r="M695" s="257"/>
      <c r="N695" s="257"/>
      <c r="O695" s="257"/>
    </row>
    <row r="696" spans="1:15" hidden="1">
      <c r="A696" s="256">
        <v>45762</v>
      </c>
      <c r="B696" s="257" t="s">
        <v>1235</v>
      </c>
      <c r="C696" s="257" t="s">
        <v>152</v>
      </c>
      <c r="D696" s="258" t="s">
        <v>442</v>
      </c>
      <c r="E696" s="259">
        <v>55000</v>
      </c>
      <c r="F696" s="259">
        <v>94.354350335987263</v>
      </c>
      <c r="G696" s="260">
        <v>582.90899999999999</v>
      </c>
      <c r="H696" s="261" t="s">
        <v>583</v>
      </c>
      <c r="I696" s="261" t="s">
        <v>1236</v>
      </c>
      <c r="J696" s="261" t="s">
        <v>98</v>
      </c>
      <c r="K696" s="274" t="s">
        <v>1902</v>
      </c>
      <c r="L696" s="261" t="s">
        <v>155</v>
      </c>
      <c r="M696" s="257"/>
      <c r="N696" s="257"/>
      <c r="O696" s="257"/>
    </row>
    <row r="697" spans="1:15" hidden="1">
      <c r="A697" s="256">
        <v>45762</v>
      </c>
      <c r="B697" s="257" t="s">
        <v>1237</v>
      </c>
      <c r="C697" s="257" t="s">
        <v>152</v>
      </c>
      <c r="D697" s="257" t="s">
        <v>120</v>
      </c>
      <c r="E697" s="259">
        <v>10000</v>
      </c>
      <c r="F697" s="259">
        <v>17.155336424724958</v>
      </c>
      <c r="G697" s="260">
        <v>582.90899999999999</v>
      </c>
      <c r="H697" s="261" t="s">
        <v>583</v>
      </c>
      <c r="I697" s="261" t="s">
        <v>1238</v>
      </c>
      <c r="J697" s="261" t="s">
        <v>98</v>
      </c>
      <c r="K697" s="274" t="s">
        <v>1902</v>
      </c>
      <c r="L697" s="261" t="s">
        <v>155</v>
      </c>
      <c r="M697" s="257"/>
      <c r="N697" s="257"/>
      <c r="O697" s="257"/>
    </row>
    <row r="698" spans="1:15" hidden="1">
      <c r="A698" s="256">
        <v>45762</v>
      </c>
      <c r="B698" s="257" t="s">
        <v>1239</v>
      </c>
      <c r="C698" s="257" t="s">
        <v>152</v>
      </c>
      <c r="D698" s="258" t="s">
        <v>117</v>
      </c>
      <c r="E698" s="259">
        <v>10000</v>
      </c>
      <c r="F698" s="259">
        <v>17.155336424724958</v>
      </c>
      <c r="G698" s="260">
        <v>582.90899999999999</v>
      </c>
      <c r="H698" s="261" t="s">
        <v>583</v>
      </c>
      <c r="I698" s="261" t="s">
        <v>1240</v>
      </c>
      <c r="J698" s="261" t="s">
        <v>98</v>
      </c>
      <c r="K698" s="274" t="s">
        <v>1902</v>
      </c>
      <c r="L698" s="261" t="s">
        <v>155</v>
      </c>
      <c r="M698" s="257"/>
      <c r="N698" s="257"/>
      <c r="O698" s="257"/>
    </row>
    <row r="699" spans="1:15" hidden="1">
      <c r="A699" s="256">
        <v>45762</v>
      </c>
      <c r="B699" s="257" t="s">
        <v>1241</v>
      </c>
      <c r="C699" s="257" t="s">
        <v>152</v>
      </c>
      <c r="D699" s="258" t="s">
        <v>442</v>
      </c>
      <c r="E699" s="259">
        <v>5000</v>
      </c>
      <c r="F699" s="259">
        <v>8.5776682123624788</v>
      </c>
      <c r="G699" s="260">
        <v>582.90899999999999</v>
      </c>
      <c r="H699" s="261" t="s">
        <v>583</v>
      </c>
      <c r="I699" s="261" t="s">
        <v>1242</v>
      </c>
      <c r="J699" s="261" t="s">
        <v>98</v>
      </c>
      <c r="K699" s="274" t="s">
        <v>1902</v>
      </c>
      <c r="L699" s="261" t="s">
        <v>155</v>
      </c>
      <c r="M699" s="257"/>
      <c r="N699" s="257"/>
      <c r="O699" s="257"/>
    </row>
    <row r="700" spans="1:15" hidden="1">
      <c r="A700" s="256">
        <v>45762</v>
      </c>
      <c r="B700" s="257" t="s">
        <v>3223</v>
      </c>
      <c r="C700" s="263" t="s">
        <v>177</v>
      </c>
      <c r="D700" s="258" t="s">
        <v>442</v>
      </c>
      <c r="E700" s="259">
        <v>30000</v>
      </c>
      <c r="F700" s="259">
        <v>51.466009274174873</v>
      </c>
      <c r="G700" s="260">
        <v>582.90899999999999</v>
      </c>
      <c r="H700" s="261" t="s">
        <v>175</v>
      </c>
      <c r="I700" s="261" t="s">
        <v>1263</v>
      </c>
      <c r="J700" s="261" t="s">
        <v>98</v>
      </c>
      <c r="K700" s="274" t="s">
        <v>1902</v>
      </c>
      <c r="L700" s="261" t="s">
        <v>155</v>
      </c>
      <c r="M700" s="257"/>
      <c r="N700" s="257"/>
      <c r="O700" s="257"/>
    </row>
    <row r="701" spans="1:15" hidden="1">
      <c r="A701" s="256">
        <v>45762</v>
      </c>
      <c r="B701" s="257" t="s">
        <v>2990</v>
      </c>
      <c r="C701" s="257" t="s">
        <v>174</v>
      </c>
      <c r="D701" s="258" t="s">
        <v>442</v>
      </c>
      <c r="E701" s="259">
        <v>12000</v>
      </c>
      <c r="F701" s="259">
        <v>20.586403709669948</v>
      </c>
      <c r="G701" s="260">
        <v>582.90899999999999</v>
      </c>
      <c r="H701" s="261" t="s">
        <v>175</v>
      </c>
      <c r="I701" s="261" t="s">
        <v>1264</v>
      </c>
      <c r="J701" s="261" t="s">
        <v>98</v>
      </c>
      <c r="K701" s="274" t="s">
        <v>1902</v>
      </c>
      <c r="L701" s="261" t="s">
        <v>155</v>
      </c>
      <c r="M701" s="257"/>
      <c r="N701" s="257"/>
      <c r="O701" s="257"/>
    </row>
    <row r="702" spans="1:15" hidden="1">
      <c r="A702" s="256">
        <v>45762</v>
      </c>
      <c r="B702" s="257" t="s">
        <v>3219</v>
      </c>
      <c r="C702" s="263" t="s">
        <v>177</v>
      </c>
      <c r="D702" s="258" t="s">
        <v>442</v>
      </c>
      <c r="E702" s="259">
        <v>15000</v>
      </c>
      <c r="F702" s="259">
        <v>25.733004637087436</v>
      </c>
      <c r="G702" s="260">
        <v>582.90899999999999</v>
      </c>
      <c r="H702" s="261" t="s">
        <v>323</v>
      </c>
      <c r="I702" s="261" t="s">
        <v>1288</v>
      </c>
      <c r="J702" s="261" t="s">
        <v>98</v>
      </c>
      <c r="K702" s="274" t="s">
        <v>1902</v>
      </c>
      <c r="L702" s="261" t="s">
        <v>155</v>
      </c>
      <c r="M702" s="257"/>
      <c r="N702" s="257"/>
      <c r="O702" s="257"/>
    </row>
    <row r="703" spans="1:15" hidden="1">
      <c r="A703" s="256">
        <v>45763</v>
      </c>
      <c r="B703" s="257" t="s">
        <v>1310</v>
      </c>
      <c r="C703" s="263" t="s">
        <v>177</v>
      </c>
      <c r="D703" s="258" t="s">
        <v>117</v>
      </c>
      <c r="E703" s="259">
        <v>20000</v>
      </c>
      <c r="F703" s="259">
        <v>34.310672849449915</v>
      </c>
      <c r="G703" s="260">
        <v>582.90899999999999</v>
      </c>
      <c r="H703" s="261" t="s">
        <v>190</v>
      </c>
      <c r="I703" s="261" t="s">
        <v>1311</v>
      </c>
      <c r="J703" s="261" t="s">
        <v>98</v>
      </c>
      <c r="K703" s="274" t="s">
        <v>1902</v>
      </c>
      <c r="L703" s="261" t="s">
        <v>155</v>
      </c>
      <c r="M703" s="257"/>
      <c r="N703" s="257"/>
      <c r="O703" s="257"/>
    </row>
    <row r="704" spans="1:15" hidden="1">
      <c r="A704" s="256">
        <v>45764</v>
      </c>
      <c r="B704" s="257" t="s">
        <v>1289</v>
      </c>
      <c r="C704" s="264" t="s">
        <v>2086</v>
      </c>
      <c r="D704" s="257" t="s">
        <v>118</v>
      </c>
      <c r="E704" s="259">
        <v>7500</v>
      </c>
      <c r="F704" s="259">
        <v>12.866502318543718</v>
      </c>
      <c r="G704" s="260">
        <v>582.90899999999999</v>
      </c>
      <c r="H704" s="261" t="s">
        <v>323</v>
      </c>
      <c r="I704" s="261" t="s">
        <v>1290</v>
      </c>
      <c r="J704" s="261" t="s">
        <v>98</v>
      </c>
      <c r="K704" s="274" t="s">
        <v>1902</v>
      </c>
      <c r="L704" s="261" t="s">
        <v>155</v>
      </c>
      <c r="M704" s="257"/>
      <c r="N704" s="257"/>
      <c r="O704" s="257"/>
    </row>
    <row r="705" spans="1:15" hidden="1">
      <c r="A705" s="256">
        <v>45765</v>
      </c>
      <c r="B705" s="257" t="s">
        <v>3076</v>
      </c>
      <c r="C705" s="257" t="s">
        <v>174</v>
      </c>
      <c r="D705" s="258" t="s">
        <v>442</v>
      </c>
      <c r="E705" s="259">
        <v>7000</v>
      </c>
      <c r="F705" s="259">
        <v>12.00873549730747</v>
      </c>
      <c r="G705" s="260">
        <v>582.90899999999999</v>
      </c>
      <c r="H705" s="261" t="s">
        <v>184</v>
      </c>
      <c r="I705" s="261" t="s">
        <v>1473</v>
      </c>
      <c r="J705" s="261" t="s">
        <v>98</v>
      </c>
      <c r="K705" s="274" t="s">
        <v>1902</v>
      </c>
      <c r="L705" s="261" t="s">
        <v>155</v>
      </c>
      <c r="M705" s="257"/>
      <c r="N705" s="257"/>
      <c r="O705" s="257"/>
    </row>
    <row r="706" spans="1:15" hidden="1">
      <c r="A706" s="276">
        <v>45765</v>
      </c>
      <c r="B706" s="257" t="s">
        <v>3066</v>
      </c>
      <c r="C706" s="257" t="s">
        <v>174</v>
      </c>
      <c r="D706" s="258" t="s">
        <v>442</v>
      </c>
      <c r="E706" s="259">
        <v>7000</v>
      </c>
      <c r="F706" s="259">
        <v>12.00873549730747</v>
      </c>
      <c r="G706" s="260">
        <v>582.90899999999999</v>
      </c>
      <c r="H706" s="261" t="s">
        <v>317</v>
      </c>
      <c r="I706" s="261" t="s">
        <v>1273</v>
      </c>
      <c r="J706" s="261" t="s">
        <v>98</v>
      </c>
      <c r="K706" s="274" t="s">
        <v>1902</v>
      </c>
      <c r="L706" s="261" t="s">
        <v>155</v>
      </c>
      <c r="M706" s="257"/>
      <c r="N706" s="257"/>
      <c r="O706" s="257"/>
    </row>
    <row r="707" spans="1:15" hidden="1">
      <c r="A707" s="256">
        <v>45765</v>
      </c>
      <c r="B707" s="257" t="s">
        <v>1303</v>
      </c>
      <c r="C707" s="257" t="s">
        <v>174</v>
      </c>
      <c r="D707" s="258" t="s">
        <v>117</v>
      </c>
      <c r="E707" s="259">
        <v>7000</v>
      </c>
      <c r="F707" s="259">
        <v>12.00873549730747</v>
      </c>
      <c r="G707" s="260">
        <v>582.90899999999999</v>
      </c>
      <c r="H707" s="261" t="s">
        <v>187</v>
      </c>
      <c r="I707" s="261" t="s">
        <v>1304</v>
      </c>
      <c r="J707" s="261" t="s">
        <v>98</v>
      </c>
      <c r="K707" s="274" t="s">
        <v>1902</v>
      </c>
      <c r="L707" s="261" t="s">
        <v>155</v>
      </c>
      <c r="M707" s="257"/>
      <c r="N707" s="257"/>
      <c r="O707" s="257"/>
    </row>
    <row r="708" spans="1:15" hidden="1">
      <c r="A708" s="276">
        <v>45765</v>
      </c>
      <c r="B708" s="257" t="s">
        <v>1312</v>
      </c>
      <c r="C708" s="257" t="s">
        <v>174</v>
      </c>
      <c r="D708" s="258" t="s">
        <v>117</v>
      </c>
      <c r="E708" s="259">
        <v>7000</v>
      </c>
      <c r="F708" s="259">
        <v>12.00873549730747</v>
      </c>
      <c r="G708" s="260">
        <v>582.90899999999999</v>
      </c>
      <c r="H708" s="261" t="s">
        <v>190</v>
      </c>
      <c r="I708" s="261" t="s">
        <v>1313</v>
      </c>
      <c r="J708" s="261" t="s">
        <v>98</v>
      </c>
      <c r="K708" s="274" t="s">
        <v>1902</v>
      </c>
      <c r="L708" s="261" t="s">
        <v>155</v>
      </c>
      <c r="M708" s="257"/>
      <c r="N708" s="257"/>
      <c r="O708" s="257"/>
    </row>
    <row r="709" spans="1:15" hidden="1">
      <c r="A709" s="276">
        <v>45765</v>
      </c>
      <c r="B709" s="257" t="s">
        <v>1359</v>
      </c>
      <c r="C709" s="257" t="s">
        <v>174</v>
      </c>
      <c r="D709" s="258" t="s">
        <v>117</v>
      </c>
      <c r="E709" s="259">
        <v>7000</v>
      </c>
      <c r="F709" s="259">
        <v>12.00873549730747</v>
      </c>
      <c r="G709" s="260">
        <v>582.90899999999999</v>
      </c>
      <c r="H709" s="261" t="s">
        <v>193</v>
      </c>
      <c r="I709" s="261" t="s">
        <v>1360</v>
      </c>
      <c r="J709" s="261" t="s">
        <v>98</v>
      </c>
      <c r="K709" s="274" t="s">
        <v>1902</v>
      </c>
      <c r="L709" s="261" t="s">
        <v>155</v>
      </c>
      <c r="M709" s="257"/>
      <c r="N709" s="257"/>
      <c r="O709" s="257"/>
    </row>
    <row r="710" spans="1:15" hidden="1">
      <c r="A710" s="276">
        <v>45765</v>
      </c>
      <c r="B710" s="257" t="s">
        <v>1392</v>
      </c>
      <c r="C710" s="257" t="s">
        <v>196</v>
      </c>
      <c r="D710" s="258" t="s">
        <v>117</v>
      </c>
      <c r="E710" s="259">
        <v>7000</v>
      </c>
      <c r="F710" s="259">
        <v>12.00873549730747</v>
      </c>
      <c r="G710" s="260">
        <v>582.90899999999999</v>
      </c>
      <c r="H710" s="261" t="s">
        <v>437</v>
      </c>
      <c r="I710" s="261" t="s">
        <v>1393</v>
      </c>
      <c r="J710" s="261" t="s">
        <v>98</v>
      </c>
      <c r="K710" s="274" t="s">
        <v>1902</v>
      </c>
      <c r="L710" s="261" t="s">
        <v>155</v>
      </c>
      <c r="M710" s="257"/>
      <c r="N710" s="257"/>
      <c r="O710" s="257"/>
    </row>
    <row r="711" spans="1:15" hidden="1">
      <c r="A711" s="256">
        <v>45765</v>
      </c>
      <c r="B711" s="257" t="s">
        <v>1178</v>
      </c>
      <c r="C711" s="257" t="s">
        <v>174</v>
      </c>
      <c r="D711" s="258" t="s">
        <v>117</v>
      </c>
      <c r="E711" s="259">
        <v>7000</v>
      </c>
      <c r="F711" s="259">
        <v>12.00873549730747</v>
      </c>
      <c r="G711" s="260">
        <v>582.90899999999999</v>
      </c>
      <c r="H711" s="261" t="s">
        <v>200</v>
      </c>
      <c r="I711" s="261" t="s">
        <v>1179</v>
      </c>
      <c r="J711" s="261" t="s">
        <v>98</v>
      </c>
      <c r="K711" s="274" t="s">
        <v>1902</v>
      </c>
      <c r="L711" s="261" t="s">
        <v>155</v>
      </c>
      <c r="M711" s="257"/>
      <c r="N711" s="257"/>
      <c r="O711" s="257"/>
    </row>
    <row r="712" spans="1:15" hidden="1">
      <c r="A712" s="256">
        <v>45765</v>
      </c>
      <c r="B712" s="257" t="s">
        <v>3176</v>
      </c>
      <c r="C712" s="263" t="s">
        <v>177</v>
      </c>
      <c r="D712" s="258" t="s">
        <v>442</v>
      </c>
      <c r="E712" s="259">
        <v>210000</v>
      </c>
      <c r="F712" s="259">
        <v>360.26206491922409</v>
      </c>
      <c r="G712" s="260">
        <v>582.90899999999999</v>
      </c>
      <c r="H712" s="261" t="s">
        <v>317</v>
      </c>
      <c r="I712" s="261" t="s">
        <v>1274</v>
      </c>
      <c r="J712" s="261" t="s">
        <v>98</v>
      </c>
      <c r="K712" s="274" t="s">
        <v>1902</v>
      </c>
      <c r="L712" s="261" t="s">
        <v>155</v>
      </c>
      <c r="M712" s="257"/>
      <c r="N712" s="257"/>
      <c r="O712" s="257"/>
    </row>
    <row r="713" spans="1:15" hidden="1">
      <c r="A713" s="256">
        <v>45765</v>
      </c>
      <c r="B713" s="257" t="s">
        <v>1275</v>
      </c>
      <c r="C713" s="257" t="s">
        <v>174</v>
      </c>
      <c r="D713" s="258" t="s">
        <v>442</v>
      </c>
      <c r="E713" s="259">
        <v>34300</v>
      </c>
      <c r="F713" s="259">
        <v>58.842803936806604</v>
      </c>
      <c r="G713" s="260">
        <v>582.90899999999999</v>
      </c>
      <c r="H713" s="261" t="s">
        <v>317</v>
      </c>
      <c r="I713" s="261" t="s">
        <v>1276</v>
      </c>
      <c r="J713" s="261" t="s">
        <v>98</v>
      </c>
      <c r="K713" s="274" t="s">
        <v>1902</v>
      </c>
      <c r="L713" s="261" t="s">
        <v>155</v>
      </c>
      <c r="M713" s="257"/>
      <c r="N713" s="257"/>
      <c r="O713" s="257"/>
    </row>
    <row r="714" spans="1:15" hidden="1">
      <c r="A714" s="256">
        <v>45765</v>
      </c>
      <c r="B714" s="257" t="s">
        <v>1484</v>
      </c>
      <c r="C714" s="263" t="s">
        <v>177</v>
      </c>
      <c r="D714" s="258" t="s">
        <v>117</v>
      </c>
      <c r="E714" s="259">
        <v>105000</v>
      </c>
      <c r="F714" s="259">
        <v>180.13103245961204</v>
      </c>
      <c r="G714" s="260">
        <v>582.90899999999999</v>
      </c>
      <c r="H714" s="261" t="s">
        <v>187</v>
      </c>
      <c r="I714" s="261" t="s">
        <v>1305</v>
      </c>
      <c r="J714" s="261" t="s">
        <v>98</v>
      </c>
      <c r="K714" s="274" t="s">
        <v>1902</v>
      </c>
      <c r="L714" s="261" t="s">
        <v>155</v>
      </c>
      <c r="M714" s="257"/>
      <c r="N714" s="257"/>
      <c r="O714" s="257"/>
    </row>
    <row r="715" spans="1:15" hidden="1">
      <c r="A715" s="256">
        <v>45765</v>
      </c>
      <c r="B715" s="257" t="s">
        <v>1314</v>
      </c>
      <c r="C715" s="263" t="s">
        <v>177</v>
      </c>
      <c r="D715" s="258" t="s">
        <v>117</v>
      </c>
      <c r="E715" s="259">
        <v>30000</v>
      </c>
      <c r="F715" s="259">
        <v>51.466009274174873</v>
      </c>
      <c r="G715" s="260">
        <v>582.90899999999999</v>
      </c>
      <c r="H715" s="261" t="s">
        <v>190</v>
      </c>
      <c r="I715" s="261" t="s">
        <v>1315</v>
      </c>
      <c r="J715" s="261" t="s">
        <v>98</v>
      </c>
      <c r="K715" s="274" t="s">
        <v>1902</v>
      </c>
      <c r="L715" s="261" t="s">
        <v>155</v>
      </c>
      <c r="M715" s="257"/>
      <c r="N715" s="257"/>
      <c r="O715" s="257"/>
    </row>
    <row r="716" spans="1:15" hidden="1">
      <c r="A716" s="256">
        <v>45765</v>
      </c>
      <c r="B716" s="257" t="s">
        <v>1494</v>
      </c>
      <c r="C716" s="263" t="s">
        <v>177</v>
      </c>
      <c r="D716" s="258" t="s">
        <v>117</v>
      </c>
      <c r="E716" s="259">
        <v>90000</v>
      </c>
      <c r="F716" s="259">
        <v>154.39802782252463</v>
      </c>
      <c r="G716" s="260">
        <v>582.90899999999999</v>
      </c>
      <c r="H716" s="261" t="s">
        <v>193</v>
      </c>
      <c r="I716" s="261" t="s">
        <v>1361</v>
      </c>
      <c r="J716" s="261" t="s">
        <v>98</v>
      </c>
      <c r="K716" s="274" t="s">
        <v>1902</v>
      </c>
      <c r="L716" s="261" t="s">
        <v>155</v>
      </c>
      <c r="M716" s="257"/>
      <c r="N716" s="257"/>
      <c r="O716" s="257"/>
    </row>
    <row r="717" spans="1:15" hidden="1">
      <c r="A717" s="256">
        <v>45765</v>
      </c>
      <c r="B717" s="257" t="s">
        <v>1394</v>
      </c>
      <c r="C717" s="263" t="s">
        <v>177</v>
      </c>
      <c r="D717" s="258" t="s">
        <v>117</v>
      </c>
      <c r="E717" s="259">
        <v>105000</v>
      </c>
      <c r="F717" s="259">
        <v>180.13103245961204</v>
      </c>
      <c r="G717" s="260">
        <v>582.90899999999999</v>
      </c>
      <c r="H717" s="261" t="s">
        <v>437</v>
      </c>
      <c r="I717" s="261" t="s">
        <v>1395</v>
      </c>
      <c r="J717" s="261" t="s">
        <v>98</v>
      </c>
      <c r="K717" s="274" t="s">
        <v>1902</v>
      </c>
      <c r="L717" s="261" t="s">
        <v>155</v>
      </c>
      <c r="M717" s="257"/>
      <c r="N717" s="257"/>
      <c r="O717" s="257"/>
    </row>
    <row r="718" spans="1:15" hidden="1">
      <c r="A718" s="256">
        <v>45765</v>
      </c>
      <c r="B718" s="257" t="s">
        <v>1409</v>
      </c>
      <c r="C718" s="257" t="s">
        <v>174</v>
      </c>
      <c r="D718" s="257" t="s">
        <v>120</v>
      </c>
      <c r="E718" s="259">
        <v>7000</v>
      </c>
      <c r="F718" s="259">
        <v>12.00873549730747</v>
      </c>
      <c r="G718" s="260">
        <v>582.90899999999999</v>
      </c>
      <c r="H718" s="261" t="s">
        <v>213</v>
      </c>
      <c r="I718" s="261" t="s">
        <v>1410</v>
      </c>
      <c r="J718" s="261" t="s">
        <v>98</v>
      </c>
      <c r="K718" s="274" t="s">
        <v>1902</v>
      </c>
      <c r="L718" s="261" t="s">
        <v>155</v>
      </c>
      <c r="M718" s="257"/>
      <c r="N718" s="257"/>
      <c r="O718" s="257"/>
    </row>
    <row r="719" spans="1:15" hidden="1">
      <c r="A719" s="256">
        <v>45765</v>
      </c>
      <c r="B719" s="257" t="s">
        <v>1486</v>
      </c>
      <c r="C719" s="263" t="s">
        <v>177</v>
      </c>
      <c r="D719" s="257" t="s">
        <v>120</v>
      </c>
      <c r="E719" s="259">
        <v>105000</v>
      </c>
      <c r="F719" s="259">
        <v>180.13103245961204</v>
      </c>
      <c r="G719" s="260">
        <v>582.90899999999999</v>
      </c>
      <c r="H719" s="261" t="s">
        <v>213</v>
      </c>
      <c r="I719" s="261" t="s">
        <v>1411</v>
      </c>
      <c r="J719" s="261" t="s">
        <v>98</v>
      </c>
      <c r="K719" s="274" t="s">
        <v>1902</v>
      </c>
      <c r="L719" s="261" t="s">
        <v>155</v>
      </c>
      <c r="M719" s="257"/>
      <c r="N719" s="257"/>
      <c r="O719" s="257"/>
    </row>
    <row r="720" spans="1:15" hidden="1">
      <c r="A720" s="256">
        <v>45766</v>
      </c>
      <c r="B720" s="257" t="s">
        <v>3027</v>
      </c>
      <c r="C720" s="263" t="s">
        <v>177</v>
      </c>
      <c r="D720" s="258" t="s">
        <v>442</v>
      </c>
      <c r="E720" s="259">
        <v>150000</v>
      </c>
      <c r="F720" s="259">
        <v>257.33004637087436</v>
      </c>
      <c r="G720" s="260">
        <v>582.90899999999999</v>
      </c>
      <c r="H720" s="261" t="s">
        <v>184</v>
      </c>
      <c r="I720" s="261" t="s">
        <v>1474</v>
      </c>
      <c r="J720" s="261" t="s">
        <v>98</v>
      </c>
      <c r="K720" s="274" t="s">
        <v>1902</v>
      </c>
      <c r="L720" s="261" t="s">
        <v>155</v>
      </c>
      <c r="M720" s="257"/>
      <c r="N720" s="257"/>
      <c r="O720" s="257"/>
    </row>
    <row r="721" spans="1:15" hidden="1">
      <c r="A721" s="256">
        <v>45766</v>
      </c>
      <c r="B721" s="257" t="s">
        <v>3026</v>
      </c>
      <c r="C721" s="263" t="s">
        <v>177</v>
      </c>
      <c r="D721" s="258" t="s">
        <v>442</v>
      </c>
      <c r="E721" s="259">
        <v>150000</v>
      </c>
      <c r="F721" s="259">
        <v>257.33004637087436</v>
      </c>
      <c r="G721" s="260">
        <v>582.90899999999999</v>
      </c>
      <c r="H721" s="261" t="s">
        <v>184</v>
      </c>
      <c r="I721" s="261" t="s">
        <v>1475</v>
      </c>
      <c r="J721" s="261" t="s">
        <v>98</v>
      </c>
      <c r="K721" s="274" t="s">
        <v>1902</v>
      </c>
      <c r="L721" s="261" t="s">
        <v>155</v>
      </c>
      <c r="M721" s="257"/>
      <c r="N721" s="257"/>
      <c r="O721" s="257"/>
    </row>
    <row r="722" spans="1:15" hidden="1">
      <c r="A722" s="256">
        <v>45769</v>
      </c>
      <c r="B722" s="257" t="s">
        <v>1488</v>
      </c>
      <c r="C722" s="257" t="s">
        <v>127</v>
      </c>
      <c r="D722" s="258" t="s">
        <v>988</v>
      </c>
      <c r="E722" s="259">
        <v>55500</v>
      </c>
      <c r="F722" s="259">
        <v>95.212117157223517</v>
      </c>
      <c r="G722" s="260">
        <v>582.90899999999999</v>
      </c>
      <c r="H722" s="261" t="s">
        <v>153</v>
      </c>
      <c r="I722" s="261" t="s">
        <v>1183</v>
      </c>
      <c r="J722" s="261" t="s">
        <v>98</v>
      </c>
      <c r="K722" s="274" t="s">
        <v>1902</v>
      </c>
      <c r="L722" s="261" t="s">
        <v>155</v>
      </c>
      <c r="M722" s="257"/>
      <c r="N722" s="257"/>
      <c r="O722" s="257"/>
    </row>
    <row r="723" spans="1:15" hidden="1">
      <c r="A723" s="256">
        <v>45770</v>
      </c>
      <c r="B723" s="257" t="s">
        <v>1433</v>
      </c>
      <c r="C723" s="257" t="s">
        <v>127</v>
      </c>
      <c r="D723" s="258" t="s">
        <v>442</v>
      </c>
      <c r="E723" s="259">
        <v>255000</v>
      </c>
      <c r="F723" s="259">
        <v>437.46107883048643</v>
      </c>
      <c r="G723" s="260">
        <v>582.90899999999999</v>
      </c>
      <c r="H723" s="261" t="s">
        <v>148</v>
      </c>
      <c r="I723" s="261" t="s">
        <v>1452</v>
      </c>
      <c r="J723" s="261" t="s">
        <v>98</v>
      </c>
      <c r="K723" s="274" t="s">
        <v>1902</v>
      </c>
      <c r="L723" s="261" t="s">
        <v>155</v>
      </c>
      <c r="M723" s="257"/>
      <c r="N723" s="257"/>
      <c r="O723" s="257"/>
    </row>
    <row r="724" spans="1:15" hidden="1">
      <c r="A724" s="256">
        <v>45770</v>
      </c>
      <c r="B724" s="257" t="s">
        <v>1502</v>
      </c>
      <c r="C724" s="257" t="s">
        <v>123</v>
      </c>
      <c r="D724" s="258" t="s">
        <v>117</v>
      </c>
      <c r="E724" s="259">
        <v>300000</v>
      </c>
      <c r="F724" s="259">
        <v>514.66009274174871</v>
      </c>
      <c r="G724" s="269">
        <v>579.64599999999996</v>
      </c>
      <c r="H724" s="261" t="s">
        <v>148</v>
      </c>
      <c r="I724" s="261" t="s">
        <v>1453</v>
      </c>
      <c r="J724" s="261" t="s">
        <v>98</v>
      </c>
      <c r="K724" s="277" t="s">
        <v>202</v>
      </c>
      <c r="L724" s="261" t="s">
        <v>155</v>
      </c>
      <c r="M724" s="257"/>
      <c r="N724" s="257"/>
      <c r="O724" s="257"/>
    </row>
    <row r="725" spans="1:15" hidden="1">
      <c r="A725" s="256">
        <v>45770</v>
      </c>
      <c r="B725" s="257" t="s">
        <v>1501</v>
      </c>
      <c r="C725" s="257" t="s">
        <v>174</v>
      </c>
      <c r="D725" s="258" t="s">
        <v>117</v>
      </c>
      <c r="E725" s="259">
        <v>300000</v>
      </c>
      <c r="F725" s="259">
        <v>514.66009274174871</v>
      </c>
      <c r="G725" s="260">
        <v>582.90899999999999</v>
      </c>
      <c r="H725" s="261" t="s">
        <v>148</v>
      </c>
      <c r="I725" s="261" t="s">
        <v>1454</v>
      </c>
      <c r="J725" s="261" t="s">
        <v>98</v>
      </c>
      <c r="K725" s="274" t="s">
        <v>1902</v>
      </c>
      <c r="L725" s="261" t="s">
        <v>155</v>
      </c>
      <c r="M725" s="257"/>
      <c r="N725" s="257"/>
      <c r="O725" s="257"/>
    </row>
    <row r="726" spans="1:15" hidden="1">
      <c r="A726" s="256">
        <v>45771</v>
      </c>
      <c r="B726" s="257" t="s">
        <v>1243</v>
      </c>
      <c r="C726" s="257" t="s">
        <v>127</v>
      </c>
      <c r="D726" s="257" t="s">
        <v>118</v>
      </c>
      <c r="E726" s="259">
        <v>10500</v>
      </c>
      <c r="F726" s="259">
        <v>18.013103245961204</v>
      </c>
      <c r="G726" s="260">
        <v>582.90899999999999</v>
      </c>
      <c r="H726" s="261" t="s">
        <v>583</v>
      </c>
      <c r="I726" s="261" t="s">
        <v>1244</v>
      </c>
      <c r="J726" s="261" t="s">
        <v>98</v>
      </c>
      <c r="K726" s="274" t="s">
        <v>1902</v>
      </c>
      <c r="L726" s="261" t="s">
        <v>155</v>
      </c>
      <c r="M726" s="257"/>
      <c r="N726" s="257"/>
      <c r="O726" s="257"/>
    </row>
    <row r="727" spans="1:15" hidden="1">
      <c r="A727" s="256">
        <v>45771</v>
      </c>
      <c r="B727" s="257" t="s">
        <v>1316</v>
      </c>
      <c r="C727" s="257" t="s">
        <v>174</v>
      </c>
      <c r="D727" s="258" t="s">
        <v>117</v>
      </c>
      <c r="E727" s="259">
        <v>37750</v>
      </c>
      <c r="F727" s="259">
        <v>64.761395003336716</v>
      </c>
      <c r="G727" s="260">
        <v>582.90899999999999</v>
      </c>
      <c r="H727" s="261" t="s">
        <v>190</v>
      </c>
      <c r="I727" s="261" t="s">
        <v>1317</v>
      </c>
      <c r="J727" s="261" t="s">
        <v>98</v>
      </c>
      <c r="K727" s="274" t="s">
        <v>1902</v>
      </c>
      <c r="L727" s="261" t="s">
        <v>155</v>
      </c>
      <c r="M727" s="257"/>
      <c r="N727" s="257"/>
      <c r="O727" s="257"/>
    </row>
    <row r="728" spans="1:15" hidden="1">
      <c r="A728" s="256">
        <v>45771</v>
      </c>
      <c r="B728" s="257" t="s">
        <v>817</v>
      </c>
      <c r="C728" s="263" t="s">
        <v>1163</v>
      </c>
      <c r="D728" s="257" t="s">
        <v>118</v>
      </c>
      <c r="E728" s="259">
        <v>31250</v>
      </c>
      <c r="F728" s="259">
        <v>53.610426327265493</v>
      </c>
      <c r="G728" s="260">
        <v>582.90899999999999</v>
      </c>
      <c r="H728" s="261" t="s">
        <v>190</v>
      </c>
      <c r="I728" s="261" t="s">
        <v>1334</v>
      </c>
      <c r="J728" s="261" t="s">
        <v>98</v>
      </c>
      <c r="K728" s="274" t="s">
        <v>1902</v>
      </c>
      <c r="L728" s="261" t="s">
        <v>155</v>
      </c>
      <c r="M728" s="257"/>
      <c r="N728" s="257"/>
      <c r="O728" s="257"/>
    </row>
    <row r="729" spans="1:15" hidden="1">
      <c r="A729" s="256">
        <v>45771</v>
      </c>
      <c r="B729" s="257" t="s">
        <v>1495</v>
      </c>
      <c r="C729" s="263" t="s">
        <v>1163</v>
      </c>
      <c r="D729" s="257" t="s">
        <v>118</v>
      </c>
      <c r="E729" s="259">
        <v>31250</v>
      </c>
      <c r="F729" s="259">
        <v>53.610426327265493</v>
      </c>
      <c r="G729" s="260">
        <v>582.90899999999999</v>
      </c>
      <c r="H729" s="261" t="s">
        <v>193</v>
      </c>
      <c r="I729" s="261" t="s">
        <v>1362</v>
      </c>
      <c r="J729" s="261" t="s">
        <v>98</v>
      </c>
      <c r="K729" s="274" t="s">
        <v>1902</v>
      </c>
      <c r="L729" s="261" t="s">
        <v>155</v>
      </c>
      <c r="M729" s="257"/>
      <c r="N729" s="257"/>
      <c r="O729" s="257"/>
    </row>
    <row r="730" spans="1:15" hidden="1">
      <c r="A730" s="256">
        <v>45771</v>
      </c>
      <c r="B730" s="257" t="s">
        <v>1487</v>
      </c>
      <c r="C730" s="263" t="s">
        <v>1163</v>
      </c>
      <c r="D730" s="257" t="s">
        <v>118</v>
      </c>
      <c r="E730" s="259">
        <v>20000</v>
      </c>
      <c r="F730" s="259">
        <v>34.310672849449915</v>
      </c>
      <c r="G730" s="260">
        <v>582.90899999999999</v>
      </c>
      <c r="H730" s="261" t="s">
        <v>213</v>
      </c>
      <c r="I730" s="261" t="s">
        <v>1417</v>
      </c>
      <c r="J730" s="261" t="s">
        <v>98</v>
      </c>
      <c r="K730" s="274" t="s">
        <v>1902</v>
      </c>
      <c r="L730" s="261" t="s">
        <v>155</v>
      </c>
      <c r="M730" s="257"/>
      <c r="N730" s="257"/>
      <c r="O730" s="257"/>
    </row>
    <row r="731" spans="1:15" hidden="1">
      <c r="A731" s="256">
        <v>45772</v>
      </c>
      <c r="B731" s="257" t="s">
        <v>584</v>
      </c>
      <c r="C731" s="257" t="s">
        <v>368</v>
      </c>
      <c r="D731" s="258" t="s">
        <v>442</v>
      </c>
      <c r="E731" s="259">
        <v>50000</v>
      </c>
      <c r="F731" s="259">
        <v>85.776682123624781</v>
      </c>
      <c r="G731" s="260">
        <v>582.90899999999999</v>
      </c>
      <c r="H731" s="261" t="s">
        <v>153</v>
      </c>
      <c r="I731" s="261" t="s">
        <v>1184</v>
      </c>
      <c r="J731" s="261" t="s">
        <v>98</v>
      </c>
      <c r="K731" s="274" t="s">
        <v>1902</v>
      </c>
      <c r="L731" s="261" t="s">
        <v>155</v>
      </c>
      <c r="M731" s="257"/>
      <c r="N731" s="257"/>
      <c r="O731" s="257"/>
    </row>
    <row r="732" spans="1:15" hidden="1">
      <c r="A732" s="256">
        <v>45772</v>
      </c>
      <c r="B732" s="257" t="s">
        <v>1245</v>
      </c>
      <c r="C732" s="257" t="s">
        <v>304</v>
      </c>
      <c r="D732" s="257" t="s">
        <v>118</v>
      </c>
      <c r="E732" s="259">
        <v>8000</v>
      </c>
      <c r="F732" s="259">
        <v>13.724269139779965</v>
      </c>
      <c r="G732" s="260">
        <v>582.90899999999999</v>
      </c>
      <c r="H732" s="261" t="s">
        <v>583</v>
      </c>
      <c r="I732" s="261" t="s">
        <v>1246</v>
      </c>
      <c r="J732" s="261" t="s">
        <v>98</v>
      </c>
      <c r="K732" s="274" t="s">
        <v>1902</v>
      </c>
      <c r="L732" s="261" t="s">
        <v>155</v>
      </c>
      <c r="M732" s="257"/>
      <c r="N732" s="257"/>
      <c r="O732" s="257"/>
    </row>
    <row r="733" spans="1:15" hidden="1">
      <c r="A733" s="256">
        <v>45772</v>
      </c>
      <c r="B733" s="257" t="s">
        <v>1476</v>
      </c>
      <c r="C733" s="257" t="s">
        <v>174</v>
      </c>
      <c r="D733" s="258" t="s">
        <v>442</v>
      </c>
      <c r="E733" s="259">
        <v>48400</v>
      </c>
      <c r="F733" s="259">
        <v>83.031828295668788</v>
      </c>
      <c r="G733" s="260">
        <v>582.90899999999999</v>
      </c>
      <c r="H733" s="261" t="s">
        <v>184</v>
      </c>
      <c r="I733" s="261" t="s">
        <v>1477</v>
      </c>
      <c r="J733" s="261" t="s">
        <v>98</v>
      </c>
      <c r="K733" s="274" t="s">
        <v>1902</v>
      </c>
      <c r="L733" s="261" t="s">
        <v>155</v>
      </c>
      <c r="M733" s="257"/>
      <c r="N733" s="257"/>
      <c r="O733" s="257"/>
    </row>
    <row r="734" spans="1:15" hidden="1">
      <c r="A734" s="256">
        <v>45772</v>
      </c>
      <c r="B734" s="257" t="s">
        <v>1478</v>
      </c>
      <c r="C734" s="257" t="s">
        <v>368</v>
      </c>
      <c r="D734" s="258" t="s">
        <v>442</v>
      </c>
      <c r="E734" s="259">
        <v>9000</v>
      </c>
      <c r="F734" s="259">
        <v>15.439802782252462</v>
      </c>
      <c r="G734" s="260">
        <v>582.90899999999999</v>
      </c>
      <c r="H734" s="261" t="s">
        <v>184</v>
      </c>
      <c r="I734" s="261" t="s">
        <v>1479</v>
      </c>
      <c r="J734" s="261" t="s">
        <v>98</v>
      </c>
      <c r="K734" s="274" t="s">
        <v>1902</v>
      </c>
      <c r="L734" s="261" t="s">
        <v>155</v>
      </c>
      <c r="M734" s="257"/>
      <c r="N734" s="257"/>
      <c r="O734" s="257"/>
    </row>
    <row r="735" spans="1:15" hidden="1">
      <c r="A735" s="256">
        <v>45772</v>
      </c>
      <c r="B735" s="257" t="s">
        <v>1265</v>
      </c>
      <c r="C735" s="257" t="s">
        <v>368</v>
      </c>
      <c r="D735" s="258" t="s">
        <v>442</v>
      </c>
      <c r="E735" s="259">
        <v>15000</v>
      </c>
      <c r="F735" s="259">
        <v>25.733004637087436</v>
      </c>
      <c r="G735" s="260">
        <v>582.90899999999999</v>
      </c>
      <c r="H735" s="261" t="s">
        <v>175</v>
      </c>
      <c r="I735" s="261" t="s">
        <v>1266</v>
      </c>
      <c r="J735" s="261" t="s">
        <v>98</v>
      </c>
      <c r="K735" s="274" t="s">
        <v>1902</v>
      </c>
      <c r="L735" s="261" t="s">
        <v>155</v>
      </c>
      <c r="M735" s="257"/>
      <c r="N735" s="257"/>
      <c r="O735" s="257"/>
    </row>
    <row r="736" spans="1:15" hidden="1">
      <c r="A736" s="256">
        <v>45772</v>
      </c>
      <c r="B736" s="257" t="s">
        <v>1291</v>
      </c>
      <c r="C736" s="257" t="s">
        <v>368</v>
      </c>
      <c r="D736" s="258" t="s">
        <v>442</v>
      </c>
      <c r="E736" s="259">
        <v>10500</v>
      </c>
      <c r="F736" s="259">
        <v>18.013103245961204</v>
      </c>
      <c r="G736" s="260">
        <v>582.90899999999999</v>
      </c>
      <c r="H736" s="261" t="s">
        <v>323</v>
      </c>
      <c r="I736" s="261" t="s">
        <v>1292</v>
      </c>
      <c r="J736" s="261" t="s">
        <v>98</v>
      </c>
      <c r="K736" s="274" t="s">
        <v>1902</v>
      </c>
      <c r="L736" s="261" t="s">
        <v>155</v>
      </c>
      <c r="M736" s="257"/>
      <c r="N736" s="257"/>
      <c r="O736" s="257"/>
    </row>
    <row r="737" spans="1:15" hidden="1">
      <c r="A737" s="256">
        <v>45772</v>
      </c>
      <c r="B737" s="257" t="s">
        <v>1306</v>
      </c>
      <c r="C737" s="257" t="s">
        <v>174</v>
      </c>
      <c r="D737" s="258" t="s">
        <v>117</v>
      </c>
      <c r="E737" s="259">
        <v>23600</v>
      </c>
      <c r="F737" s="259">
        <v>40.486593962350902</v>
      </c>
      <c r="G737" s="260">
        <v>582.90899999999999</v>
      </c>
      <c r="H737" s="261" t="s">
        <v>187</v>
      </c>
      <c r="I737" s="261" t="s">
        <v>1307</v>
      </c>
      <c r="J737" s="261" t="s">
        <v>98</v>
      </c>
      <c r="K737" s="274" t="s">
        <v>1902</v>
      </c>
      <c r="L737" s="261" t="s">
        <v>155</v>
      </c>
      <c r="M737" s="257"/>
      <c r="N737" s="257"/>
      <c r="O737" s="257"/>
    </row>
    <row r="738" spans="1:15" hidden="1">
      <c r="A738" s="256">
        <v>45772</v>
      </c>
      <c r="B738" s="257" t="s">
        <v>1363</v>
      </c>
      <c r="C738" s="257" t="s">
        <v>174</v>
      </c>
      <c r="D738" s="258" t="s">
        <v>117</v>
      </c>
      <c r="E738" s="259">
        <v>20000</v>
      </c>
      <c r="F738" s="259">
        <v>34.310672849449915</v>
      </c>
      <c r="G738" s="260">
        <v>582.90899999999999</v>
      </c>
      <c r="H738" s="261" t="s">
        <v>193</v>
      </c>
      <c r="I738" s="261" t="s">
        <v>1364</v>
      </c>
      <c r="J738" s="261" t="s">
        <v>98</v>
      </c>
      <c r="K738" s="274" t="s">
        <v>1902</v>
      </c>
      <c r="L738" s="261" t="s">
        <v>155</v>
      </c>
      <c r="M738" s="257"/>
      <c r="N738" s="257"/>
      <c r="O738" s="257"/>
    </row>
    <row r="739" spans="1:15" hidden="1">
      <c r="A739" s="256">
        <v>45772</v>
      </c>
      <c r="B739" s="257" t="s">
        <v>1365</v>
      </c>
      <c r="C739" s="263" t="s">
        <v>177</v>
      </c>
      <c r="D739" s="258" t="s">
        <v>117</v>
      </c>
      <c r="E739" s="259">
        <v>50000</v>
      </c>
      <c r="F739" s="259">
        <v>85.776682123624781</v>
      </c>
      <c r="G739" s="260">
        <v>582.90899999999999</v>
      </c>
      <c r="H739" s="261" t="s">
        <v>193</v>
      </c>
      <c r="I739" s="261" t="s">
        <v>1366</v>
      </c>
      <c r="J739" s="261" t="s">
        <v>98</v>
      </c>
      <c r="K739" s="274" t="s">
        <v>1902</v>
      </c>
      <c r="L739" s="261" t="s">
        <v>155</v>
      </c>
      <c r="M739" s="257"/>
      <c r="N739" s="257"/>
      <c r="O739" s="257"/>
    </row>
    <row r="740" spans="1:15" hidden="1">
      <c r="A740" s="256">
        <v>45772</v>
      </c>
      <c r="B740" s="257" t="s">
        <v>1367</v>
      </c>
      <c r="C740" s="257" t="s">
        <v>174</v>
      </c>
      <c r="D740" s="258" t="s">
        <v>117</v>
      </c>
      <c r="E740" s="259">
        <v>20000</v>
      </c>
      <c r="F740" s="259">
        <v>34.310672849449915</v>
      </c>
      <c r="G740" s="260">
        <v>582.90899999999999</v>
      </c>
      <c r="H740" s="261" t="s">
        <v>193</v>
      </c>
      <c r="I740" s="261" t="s">
        <v>1368</v>
      </c>
      <c r="J740" s="261" t="s">
        <v>98</v>
      </c>
      <c r="K740" s="274" t="s">
        <v>1902</v>
      </c>
      <c r="L740" s="261" t="s">
        <v>155</v>
      </c>
      <c r="M740" s="257"/>
      <c r="N740" s="257"/>
      <c r="O740" s="257"/>
    </row>
    <row r="741" spans="1:15" hidden="1">
      <c r="A741" s="256">
        <v>45772</v>
      </c>
      <c r="B741" s="257" t="s">
        <v>1369</v>
      </c>
      <c r="C741" s="263" t="s">
        <v>177</v>
      </c>
      <c r="D741" s="258" t="s">
        <v>117</v>
      </c>
      <c r="E741" s="259">
        <v>50000</v>
      </c>
      <c r="F741" s="259">
        <v>85.776682123624781</v>
      </c>
      <c r="G741" s="260">
        <v>582.90899999999999</v>
      </c>
      <c r="H741" s="261" t="s">
        <v>193</v>
      </c>
      <c r="I741" s="261" t="s">
        <v>1370</v>
      </c>
      <c r="J741" s="261" t="s">
        <v>98</v>
      </c>
      <c r="K741" s="274" t="s">
        <v>1902</v>
      </c>
      <c r="L741" s="261" t="s">
        <v>155</v>
      </c>
      <c r="M741" s="257"/>
      <c r="N741" s="257"/>
      <c r="O741" s="257"/>
    </row>
    <row r="742" spans="1:15" hidden="1">
      <c r="A742" s="256">
        <v>45772</v>
      </c>
      <c r="B742" s="257" t="s">
        <v>797</v>
      </c>
      <c r="C742" s="264" t="s">
        <v>2086</v>
      </c>
      <c r="D742" s="257" t="s">
        <v>118</v>
      </c>
      <c r="E742" s="259">
        <v>3253</v>
      </c>
      <c r="F742" s="259">
        <v>5.5806309389630284</v>
      </c>
      <c r="G742" s="260">
        <v>582.90899999999999</v>
      </c>
      <c r="H742" s="261" t="s">
        <v>193</v>
      </c>
      <c r="I742" s="261" t="s">
        <v>1371</v>
      </c>
      <c r="J742" s="261" t="s">
        <v>98</v>
      </c>
      <c r="K742" s="274" t="s">
        <v>1902</v>
      </c>
      <c r="L742" s="261" t="s">
        <v>155</v>
      </c>
      <c r="M742" s="257"/>
      <c r="N742" s="257"/>
      <c r="O742" s="257"/>
    </row>
    <row r="743" spans="1:15" hidden="1">
      <c r="A743" s="256">
        <v>45772</v>
      </c>
      <c r="B743" s="257" t="s">
        <v>1498</v>
      </c>
      <c r="C743" s="257" t="s">
        <v>127</v>
      </c>
      <c r="D743" s="257" t="s">
        <v>119</v>
      </c>
      <c r="E743" s="259">
        <v>1311000</v>
      </c>
      <c r="F743" s="259">
        <v>2249.0646052814418</v>
      </c>
      <c r="G743" s="260">
        <v>582.90899999999999</v>
      </c>
      <c r="H743" s="261" t="s">
        <v>148</v>
      </c>
      <c r="I743" s="261" t="s">
        <v>1455</v>
      </c>
      <c r="J743" s="261" t="s">
        <v>98</v>
      </c>
      <c r="K743" s="274" t="s">
        <v>1902</v>
      </c>
      <c r="L743" s="261" t="s">
        <v>155</v>
      </c>
      <c r="M743" s="257"/>
      <c r="N743" s="257"/>
      <c r="O743" s="257"/>
    </row>
    <row r="744" spans="1:15" hidden="1">
      <c r="A744" s="256">
        <v>45772</v>
      </c>
      <c r="B744" s="257" t="s">
        <v>1499</v>
      </c>
      <c r="C744" s="257" t="s">
        <v>127</v>
      </c>
      <c r="D744" s="257" t="s">
        <v>118</v>
      </c>
      <c r="E744" s="259">
        <v>230000</v>
      </c>
      <c r="F744" s="259">
        <v>394.57273776867402</v>
      </c>
      <c r="G744" s="260">
        <v>582.90899999999999</v>
      </c>
      <c r="H744" s="261" t="s">
        <v>148</v>
      </c>
      <c r="I744" s="261" t="s">
        <v>1456</v>
      </c>
      <c r="J744" s="261" t="s">
        <v>98</v>
      </c>
      <c r="K744" s="274" t="s">
        <v>1902</v>
      </c>
      <c r="L744" s="261" t="s">
        <v>155</v>
      </c>
      <c r="M744" s="257"/>
      <c r="N744" s="257"/>
      <c r="O744" s="257"/>
    </row>
    <row r="745" spans="1:15" hidden="1">
      <c r="A745" s="256">
        <v>45772</v>
      </c>
      <c r="B745" s="257" t="s">
        <v>1500</v>
      </c>
      <c r="C745" s="257" t="s">
        <v>127</v>
      </c>
      <c r="D745" s="258" t="s">
        <v>117</v>
      </c>
      <c r="E745" s="259">
        <v>200000</v>
      </c>
      <c r="F745" s="259">
        <v>343.10672849449912</v>
      </c>
      <c r="G745" s="260">
        <v>582.90899999999999</v>
      </c>
      <c r="H745" s="261" t="s">
        <v>148</v>
      </c>
      <c r="I745" s="261" t="s">
        <v>1458</v>
      </c>
      <c r="J745" s="261" t="s">
        <v>98</v>
      </c>
      <c r="K745" s="274" t="s">
        <v>1902</v>
      </c>
      <c r="L745" s="261" t="s">
        <v>155</v>
      </c>
      <c r="M745" s="257"/>
      <c r="N745" s="257"/>
      <c r="O745" s="257"/>
    </row>
    <row r="746" spans="1:15" hidden="1">
      <c r="A746" s="256">
        <v>45772</v>
      </c>
      <c r="B746" s="257" t="s">
        <v>1469</v>
      </c>
      <c r="C746" s="257" t="s">
        <v>127</v>
      </c>
      <c r="D746" s="258" t="s">
        <v>117</v>
      </c>
      <c r="E746" s="259">
        <v>200000</v>
      </c>
      <c r="F746" s="259">
        <v>343.10672849449912</v>
      </c>
      <c r="G746" s="260">
        <v>582.90899999999999</v>
      </c>
      <c r="H746" s="261" t="s">
        <v>148</v>
      </c>
      <c r="I746" s="261" t="s">
        <v>1459</v>
      </c>
      <c r="J746" s="261" t="s">
        <v>98</v>
      </c>
      <c r="K746" s="274" t="s">
        <v>1902</v>
      </c>
      <c r="L746" s="261" t="s">
        <v>155</v>
      </c>
      <c r="M746" s="257"/>
      <c r="N746" s="257"/>
      <c r="O746" s="257"/>
    </row>
    <row r="747" spans="1:15" hidden="1">
      <c r="A747" s="256">
        <v>45772</v>
      </c>
      <c r="B747" s="257" t="s">
        <v>1434</v>
      </c>
      <c r="C747" s="257" t="s">
        <v>127</v>
      </c>
      <c r="D747" s="258" t="s">
        <v>117</v>
      </c>
      <c r="E747" s="259">
        <v>551482</v>
      </c>
      <c r="F747" s="259">
        <v>946.08592421801688</v>
      </c>
      <c r="G747" s="260">
        <v>582.90899999999999</v>
      </c>
      <c r="H747" s="261" t="s">
        <v>148</v>
      </c>
      <c r="I747" s="261" t="s">
        <v>1460</v>
      </c>
      <c r="J747" s="261" t="s">
        <v>98</v>
      </c>
      <c r="K747" s="274" t="s">
        <v>1902</v>
      </c>
      <c r="L747" s="261" t="s">
        <v>155</v>
      </c>
      <c r="M747" s="257"/>
      <c r="N747" s="257"/>
      <c r="O747" s="257"/>
    </row>
    <row r="748" spans="1:15" hidden="1">
      <c r="A748" s="256">
        <v>45772</v>
      </c>
      <c r="B748" s="257" t="s">
        <v>1436</v>
      </c>
      <c r="C748" s="257" t="s">
        <v>127</v>
      </c>
      <c r="D748" s="258" t="s">
        <v>117</v>
      </c>
      <c r="E748" s="259">
        <v>300000</v>
      </c>
      <c r="F748" s="259">
        <v>514.66009274174871</v>
      </c>
      <c r="G748" s="260">
        <v>582.90899999999999</v>
      </c>
      <c r="H748" s="261" t="s">
        <v>148</v>
      </c>
      <c r="I748" s="261" t="s">
        <v>1462</v>
      </c>
      <c r="J748" s="261" t="s">
        <v>98</v>
      </c>
      <c r="K748" s="274" t="s">
        <v>1902</v>
      </c>
      <c r="L748" s="261" t="s">
        <v>155</v>
      </c>
      <c r="M748" s="257"/>
      <c r="N748" s="257"/>
      <c r="O748" s="257"/>
    </row>
    <row r="749" spans="1:15" hidden="1">
      <c r="A749" s="256">
        <v>45772</v>
      </c>
      <c r="B749" s="257" t="s">
        <v>1480</v>
      </c>
      <c r="C749" s="257" t="s">
        <v>128</v>
      </c>
      <c r="D749" s="257" t="s">
        <v>118</v>
      </c>
      <c r="E749" s="259">
        <v>10665</v>
      </c>
      <c r="F749" s="259">
        <v>18.296166296969169</v>
      </c>
      <c r="G749" s="260">
        <v>582.90899999999999</v>
      </c>
      <c r="H749" s="261" t="s">
        <v>148</v>
      </c>
      <c r="I749" s="261" t="s">
        <v>1466</v>
      </c>
      <c r="J749" s="261" t="s">
        <v>98</v>
      </c>
      <c r="K749" s="274" t="s">
        <v>1902</v>
      </c>
      <c r="L749" s="261" t="s">
        <v>155</v>
      </c>
      <c r="M749" s="257"/>
      <c r="N749" s="257"/>
      <c r="O749" s="257"/>
    </row>
    <row r="750" spans="1:15" hidden="1">
      <c r="A750" s="256">
        <v>45773</v>
      </c>
      <c r="B750" s="257" t="s">
        <v>1335</v>
      </c>
      <c r="C750" s="257" t="s">
        <v>174</v>
      </c>
      <c r="D750" s="258" t="s">
        <v>117</v>
      </c>
      <c r="E750" s="259">
        <v>7000</v>
      </c>
      <c r="F750" s="259">
        <v>12.00873549730747</v>
      </c>
      <c r="G750" s="260">
        <v>582.90899999999999</v>
      </c>
      <c r="H750" s="261" t="s">
        <v>193</v>
      </c>
      <c r="I750" s="261" t="s">
        <v>1372</v>
      </c>
      <c r="J750" s="261" t="s">
        <v>98</v>
      </c>
      <c r="K750" s="274" t="s">
        <v>1902</v>
      </c>
      <c r="L750" s="261" t="s">
        <v>155</v>
      </c>
      <c r="M750" s="257"/>
      <c r="N750" s="257"/>
      <c r="O750" s="257"/>
    </row>
    <row r="751" spans="1:15" hidden="1">
      <c r="A751" s="256">
        <v>45774</v>
      </c>
      <c r="B751" s="257" t="s">
        <v>1396</v>
      </c>
      <c r="C751" s="257" t="s">
        <v>196</v>
      </c>
      <c r="D751" s="258" t="s">
        <v>117</v>
      </c>
      <c r="E751" s="259">
        <v>7000</v>
      </c>
      <c r="F751" s="259">
        <v>12.00873549730747</v>
      </c>
      <c r="G751" s="260">
        <v>582.90899999999999</v>
      </c>
      <c r="H751" s="261" t="s">
        <v>437</v>
      </c>
      <c r="I751" s="261" t="s">
        <v>1397</v>
      </c>
      <c r="J751" s="261" t="s">
        <v>98</v>
      </c>
      <c r="K751" s="274" t="s">
        <v>1902</v>
      </c>
      <c r="L751" s="261" t="s">
        <v>155</v>
      </c>
      <c r="M751" s="257"/>
      <c r="N751" s="257"/>
      <c r="O751" s="257"/>
    </row>
    <row r="752" spans="1:15" hidden="1">
      <c r="A752" s="256">
        <v>45775</v>
      </c>
      <c r="B752" s="257" t="s">
        <v>1437</v>
      </c>
      <c r="C752" s="263" t="s">
        <v>126</v>
      </c>
      <c r="D752" s="257" t="s">
        <v>118</v>
      </c>
      <c r="E752" s="259">
        <v>500000</v>
      </c>
      <c r="F752" s="259">
        <v>857.76682123624789</v>
      </c>
      <c r="G752" s="260">
        <v>582.90899999999999</v>
      </c>
      <c r="H752" s="261" t="s">
        <v>148</v>
      </c>
      <c r="I752" s="261" t="s">
        <v>1466</v>
      </c>
      <c r="J752" s="261" t="s">
        <v>98</v>
      </c>
      <c r="K752" s="274" t="s">
        <v>1902</v>
      </c>
      <c r="L752" s="261" t="s">
        <v>155</v>
      </c>
      <c r="M752" s="257"/>
      <c r="N752" s="257"/>
      <c r="O752" s="257"/>
    </row>
    <row r="753" spans="1:15" hidden="1">
      <c r="A753" s="256">
        <v>45775</v>
      </c>
      <c r="B753" s="257" t="s">
        <v>1247</v>
      </c>
      <c r="C753" s="257" t="s">
        <v>304</v>
      </c>
      <c r="D753" s="257" t="s">
        <v>118</v>
      </c>
      <c r="E753" s="259">
        <v>20000</v>
      </c>
      <c r="F753" s="259">
        <v>34.310672849449915</v>
      </c>
      <c r="G753" s="260">
        <v>582.90899999999999</v>
      </c>
      <c r="H753" s="261" t="s">
        <v>583</v>
      </c>
      <c r="I753" s="261" t="s">
        <v>1248</v>
      </c>
      <c r="J753" s="261" t="s">
        <v>98</v>
      </c>
      <c r="K753" s="274" t="s">
        <v>1902</v>
      </c>
      <c r="L753" s="261" t="s">
        <v>155</v>
      </c>
      <c r="M753" s="257"/>
      <c r="N753" s="257"/>
      <c r="O753" s="257"/>
    </row>
    <row r="754" spans="1:15" hidden="1">
      <c r="A754" s="256">
        <v>45775</v>
      </c>
      <c r="B754" s="257" t="s">
        <v>1900</v>
      </c>
      <c r="C754" s="257" t="s">
        <v>304</v>
      </c>
      <c r="D754" s="257" t="s">
        <v>118</v>
      </c>
      <c r="E754" s="259">
        <v>75625</v>
      </c>
      <c r="F754" s="259">
        <v>129.7372317119825</v>
      </c>
      <c r="G754" s="260">
        <v>582.90899999999999</v>
      </c>
      <c r="H754" s="261" t="s">
        <v>583</v>
      </c>
      <c r="I754" s="261" t="s">
        <v>1249</v>
      </c>
      <c r="J754" s="261" t="s">
        <v>98</v>
      </c>
      <c r="K754" s="274" t="s">
        <v>1902</v>
      </c>
      <c r="L754" s="261" t="s">
        <v>155</v>
      </c>
      <c r="M754" s="257"/>
      <c r="N754" s="257"/>
      <c r="O754" s="257"/>
    </row>
    <row r="755" spans="1:15" hidden="1">
      <c r="A755" s="256">
        <v>45775</v>
      </c>
      <c r="B755" s="257" t="s">
        <v>1496</v>
      </c>
      <c r="C755" s="263" t="s">
        <v>177</v>
      </c>
      <c r="D755" s="258" t="s">
        <v>117</v>
      </c>
      <c r="E755" s="259">
        <v>20000</v>
      </c>
      <c r="F755" s="259">
        <v>34.310672849449915</v>
      </c>
      <c r="G755" s="260">
        <v>582.90899999999999</v>
      </c>
      <c r="H755" s="261" t="s">
        <v>193</v>
      </c>
      <c r="I755" s="261" t="s">
        <v>1373</v>
      </c>
      <c r="J755" s="261" t="s">
        <v>98</v>
      </c>
      <c r="K755" s="274" t="s">
        <v>1902</v>
      </c>
      <c r="L755" s="261" t="s">
        <v>155</v>
      </c>
      <c r="M755" s="257"/>
      <c r="N755" s="257"/>
      <c r="O755" s="257"/>
    </row>
    <row r="756" spans="1:15" hidden="1">
      <c r="A756" s="256">
        <v>45775</v>
      </c>
      <c r="B756" s="257" t="s">
        <v>1398</v>
      </c>
      <c r="C756" s="263" t="s">
        <v>177</v>
      </c>
      <c r="D756" s="258" t="s">
        <v>117</v>
      </c>
      <c r="E756" s="259">
        <v>20000</v>
      </c>
      <c r="F756" s="259">
        <v>34.310672849449915</v>
      </c>
      <c r="G756" s="260">
        <v>582.90899999999999</v>
      </c>
      <c r="H756" s="261" t="s">
        <v>437</v>
      </c>
      <c r="I756" s="261" t="s">
        <v>1399</v>
      </c>
      <c r="J756" s="261" t="s">
        <v>98</v>
      </c>
      <c r="K756" s="274" t="s">
        <v>1902</v>
      </c>
      <c r="L756" s="261" t="s">
        <v>155</v>
      </c>
      <c r="M756" s="257"/>
      <c r="N756" s="257"/>
      <c r="O756" s="257"/>
    </row>
    <row r="757" spans="1:15" hidden="1">
      <c r="A757" s="256">
        <v>45775</v>
      </c>
      <c r="B757" s="257" t="s">
        <v>1412</v>
      </c>
      <c r="C757" s="257" t="s">
        <v>174</v>
      </c>
      <c r="D757" s="257" t="s">
        <v>120</v>
      </c>
      <c r="E757" s="259">
        <v>41900</v>
      </c>
      <c r="F757" s="259">
        <v>71.880859619597572</v>
      </c>
      <c r="G757" s="260">
        <v>582.90899999999999</v>
      </c>
      <c r="H757" s="261" t="s">
        <v>213</v>
      </c>
      <c r="I757" s="261" t="s">
        <v>1413</v>
      </c>
      <c r="J757" s="261" t="s">
        <v>98</v>
      </c>
      <c r="K757" s="274" t="s">
        <v>1902</v>
      </c>
      <c r="L757" s="261" t="s">
        <v>155</v>
      </c>
      <c r="M757" s="257"/>
      <c r="N757" s="257"/>
      <c r="O757" s="257"/>
    </row>
    <row r="758" spans="1:15" hidden="1">
      <c r="A758" s="256">
        <v>45775</v>
      </c>
      <c r="B758" s="257" t="s">
        <v>1418</v>
      </c>
      <c r="C758" s="263" t="s">
        <v>2088</v>
      </c>
      <c r="D758" s="257" t="s">
        <v>120</v>
      </c>
      <c r="E758" s="259">
        <v>144000</v>
      </c>
      <c r="F758" s="259">
        <v>247.03684451603939</v>
      </c>
      <c r="G758" s="260">
        <v>582.90899999999999</v>
      </c>
      <c r="H758" s="261" t="s">
        <v>213</v>
      </c>
      <c r="I758" s="261" t="s">
        <v>1419</v>
      </c>
      <c r="J758" s="261" t="s">
        <v>98</v>
      </c>
      <c r="K758" s="274" t="s">
        <v>1902</v>
      </c>
      <c r="L758" s="261" t="s">
        <v>155</v>
      </c>
      <c r="M758" s="257"/>
      <c r="N758" s="257"/>
      <c r="O758" s="257"/>
    </row>
    <row r="759" spans="1:15" hidden="1">
      <c r="A759" s="256">
        <v>45775</v>
      </c>
      <c r="B759" s="257" t="s">
        <v>1420</v>
      </c>
      <c r="C759" s="278" t="s">
        <v>2095</v>
      </c>
      <c r="D759" s="257" t="s">
        <v>118</v>
      </c>
      <c r="E759" s="259">
        <v>27000</v>
      </c>
      <c r="F759" s="259">
        <v>46.319408346757385</v>
      </c>
      <c r="G759" s="260">
        <v>582.90899999999999</v>
      </c>
      <c r="H759" s="261" t="s">
        <v>213</v>
      </c>
      <c r="I759" s="261" t="s">
        <v>1421</v>
      </c>
      <c r="J759" s="261" t="s">
        <v>98</v>
      </c>
      <c r="K759" s="274" t="s">
        <v>1902</v>
      </c>
      <c r="L759" s="261" t="s">
        <v>155</v>
      </c>
      <c r="M759" s="257"/>
      <c r="N759" s="257"/>
      <c r="O759" s="257"/>
    </row>
    <row r="760" spans="1:15" hidden="1">
      <c r="A760" s="256">
        <v>45776</v>
      </c>
      <c r="B760" s="257" t="s">
        <v>1293</v>
      </c>
      <c r="C760" s="257" t="s">
        <v>174</v>
      </c>
      <c r="D760" s="258" t="s">
        <v>442</v>
      </c>
      <c r="E760" s="259">
        <v>59500</v>
      </c>
      <c r="F760" s="259">
        <v>102.07425172711349</v>
      </c>
      <c r="G760" s="260">
        <v>582.90899999999999</v>
      </c>
      <c r="H760" s="261" t="s">
        <v>323</v>
      </c>
      <c r="I760" s="261" t="s">
        <v>1294</v>
      </c>
      <c r="J760" s="261" t="s">
        <v>98</v>
      </c>
      <c r="K760" s="274" t="s">
        <v>1902</v>
      </c>
      <c r="L760" s="261" t="s">
        <v>155</v>
      </c>
      <c r="M760" s="257"/>
      <c r="N760" s="257"/>
      <c r="O760" s="257"/>
    </row>
    <row r="761" spans="1:15" hidden="1">
      <c r="A761" s="256">
        <v>45776</v>
      </c>
      <c r="B761" s="257" t="s">
        <v>1503</v>
      </c>
      <c r="C761" s="257" t="s">
        <v>1374</v>
      </c>
      <c r="D761" s="258" t="s">
        <v>117</v>
      </c>
      <c r="E761" s="259">
        <v>40000</v>
      </c>
      <c r="F761" s="259">
        <v>68.62134569889983</v>
      </c>
      <c r="G761" s="260">
        <v>582.90899999999999</v>
      </c>
      <c r="H761" s="261" t="s">
        <v>193</v>
      </c>
      <c r="I761" s="261" t="s">
        <v>1375</v>
      </c>
      <c r="J761" s="261" t="s">
        <v>98</v>
      </c>
      <c r="K761" s="274" t="s">
        <v>1902</v>
      </c>
      <c r="L761" s="261" t="s">
        <v>155</v>
      </c>
      <c r="M761" s="257"/>
      <c r="N761" s="257"/>
      <c r="O761" s="257"/>
    </row>
    <row r="762" spans="1:15" hidden="1">
      <c r="A762" s="256">
        <v>45776</v>
      </c>
      <c r="B762" s="257" t="s">
        <v>1504</v>
      </c>
      <c r="C762" s="257" t="s">
        <v>174</v>
      </c>
      <c r="D762" s="258" t="s">
        <v>117</v>
      </c>
      <c r="E762" s="259">
        <v>7000</v>
      </c>
      <c r="F762" s="259">
        <v>12.00873549730747</v>
      </c>
      <c r="G762" s="260">
        <v>582.90899999999999</v>
      </c>
      <c r="H762" s="261" t="s">
        <v>193</v>
      </c>
      <c r="I762" s="261" t="s">
        <v>1376</v>
      </c>
      <c r="J762" s="261" t="s">
        <v>98</v>
      </c>
      <c r="K762" s="274" t="s">
        <v>1902</v>
      </c>
      <c r="L762" s="261" t="s">
        <v>155</v>
      </c>
      <c r="M762" s="257"/>
      <c r="N762" s="257"/>
      <c r="O762" s="257"/>
    </row>
    <row r="763" spans="1:15" hidden="1">
      <c r="A763" s="256">
        <v>45776</v>
      </c>
      <c r="B763" s="257" t="s">
        <v>1497</v>
      </c>
      <c r="C763" s="263" t="s">
        <v>177</v>
      </c>
      <c r="D763" s="258" t="s">
        <v>117</v>
      </c>
      <c r="E763" s="259">
        <v>30000</v>
      </c>
      <c r="F763" s="259">
        <v>51.466009274174873</v>
      </c>
      <c r="G763" s="260">
        <v>582.90899999999999</v>
      </c>
      <c r="H763" s="261" t="s">
        <v>193</v>
      </c>
      <c r="I763" s="261" t="s">
        <v>1377</v>
      </c>
      <c r="J763" s="261" t="s">
        <v>98</v>
      </c>
      <c r="K763" s="274" t="s">
        <v>1902</v>
      </c>
      <c r="L763" s="261" t="s">
        <v>155</v>
      </c>
      <c r="M763" s="257"/>
      <c r="N763" s="257"/>
      <c r="O763" s="257"/>
    </row>
    <row r="764" spans="1:15" hidden="1">
      <c r="A764" s="256">
        <v>45776</v>
      </c>
      <c r="B764" s="257" t="s">
        <v>1435</v>
      </c>
      <c r="C764" s="257" t="s">
        <v>127</v>
      </c>
      <c r="D764" s="257" t="s">
        <v>120</v>
      </c>
      <c r="E764" s="259">
        <v>453388</v>
      </c>
      <c r="F764" s="259">
        <v>777.80236709331984</v>
      </c>
      <c r="G764" s="260">
        <v>582.90899999999999</v>
      </c>
      <c r="H764" s="261" t="s">
        <v>148</v>
      </c>
      <c r="I764" s="261" t="s">
        <v>1461</v>
      </c>
      <c r="J764" s="261" t="s">
        <v>98</v>
      </c>
      <c r="K764" s="274" t="s">
        <v>1902</v>
      </c>
      <c r="L764" s="261" t="s">
        <v>155</v>
      </c>
      <c r="M764" s="257"/>
      <c r="N764" s="257"/>
      <c r="O764" s="257"/>
    </row>
    <row r="765" spans="1:15" hidden="1">
      <c r="A765" s="276">
        <v>45777</v>
      </c>
      <c r="B765" s="257" t="s">
        <v>1400</v>
      </c>
      <c r="C765" s="257" t="s">
        <v>196</v>
      </c>
      <c r="D765" s="258" t="s">
        <v>117</v>
      </c>
      <c r="E765" s="259">
        <v>7000</v>
      </c>
      <c r="F765" s="259">
        <v>12.00873549730747</v>
      </c>
      <c r="G765" s="260">
        <v>582.90899999999999</v>
      </c>
      <c r="H765" s="261" t="s">
        <v>437</v>
      </c>
      <c r="I765" s="261" t="s">
        <v>1401</v>
      </c>
      <c r="J765" s="261" t="s">
        <v>98</v>
      </c>
      <c r="K765" s="274" t="s">
        <v>1902</v>
      </c>
      <c r="L765" s="261" t="s">
        <v>155</v>
      </c>
      <c r="M765" s="257"/>
      <c r="N765" s="257"/>
      <c r="O765" s="257"/>
    </row>
    <row r="766" spans="1:15" hidden="1">
      <c r="A766" s="256">
        <v>45777</v>
      </c>
      <c r="B766" s="257" t="s">
        <v>1166</v>
      </c>
      <c r="C766" s="257" t="s">
        <v>174</v>
      </c>
      <c r="D766" s="257" t="s">
        <v>119</v>
      </c>
      <c r="E766" s="259">
        <v>56000</v>
      </c>
      <c r="F766" s="259">
        <v>96.069883978459757</v>
      </c>
      <c r="G766" s="260">
        <v>582.90899999999999</v>
      </c>
      <c r="H766" s="261" t="s">
        <v>153</v>
      </c>
      <c r="I766" s="261" t="s">
        <v>1167</v>
      </c>
      <c r="J766" s="261" t="s">
        <v>98</v>
      </c>
      <c r="K766" s="274" t="s">
        <v>1902</v>
      </c>
      <c r="L766" s="261" t="s">
        <v>155</v>
      </c>
      <c r="M766" s="257"/>
      <c r="N766" s="257"/>
      <c r="O766" s="257"/>
    </row>
    <row r="767" spans="1:15" hidden="1">
      <c r="A767" s="256">
        <v>45777</v>
      </c>
      <c r="B767" s="257" t="s">
        <v>1181</v>
      </c>
      <c r="C767" s="257" t="s">
        <v>174</v>
      </c>
      <c r="D767" s="258" t="s">
        <v>117</v>
      </c>
      <c r="E767" s="259">
        <v>21200</v>
      </c>
      <c r="F767" s="259">
        <v>36.369313220416906</v>
      </c>
      <c r="G767" s="260">
        <v>582.90899999999999</v>
      </c>
      <c r="H767" s="261" t="s">
        <v>200</v>
      </c>
      <c r="I767" s="261" t="s">
        <v>1180</v>
      </c>
      <c r="J767" s="261" t="s">
        <v>98</v>
      </c>
      <c r="K767" s="274" t="s">
        <v>1902</v>
      </c>
      <c r="L767" s="261" t="s">
        <v>155</v>
      </c>
      <c r="M767" s="257"/>
      <c r="N767" s="257"/>
      <c r="O767" s="257"/>
    </row>
    <row r="768" spans="1:15" hidden="1">
      <c r="A768" s="256">
        <v>45777</v>
      </c>
      <c r="B768" s="257" t="s">
        <v>1250</v>
      </c>
      <c r="C768" s="257" t="s">
        <v>174</v>
      </c>
      <c r="D768" s="257" t="s">
        <v>118</v>
      </c>
      <c r="E768" s="259">
        <v>40500</v>
      </c>
      <c r="F768" s="259">
        <v>69.479112520136084</v>
      </c>
      <c r="G768" s="260">
        <v>582.90899999999999</v>
      </c>
      <c r="H768" s="261" t="s">
        <v>583</v>
      </c>
      <c r="I768" s="261" t="s">
        <v>1251</v>
      </c>
      <c r="J768" s="261" t="s">
        <v>98</v>
      </c>
      <c r="K768" s="274" t="s">
        <v>1902</v>
      </c>
      <c r="L768" s="261" t="s">
        <v>155</v>
      </c>
      <c r="M768" s="257"/>
      <c r="N768" s="257"/>
      <c r="O768" s="257"/>
    </row>
    <row r="769" spans="1:15" hidden="1">
      <c r="A769" s="256">
        <v>45777</v>
      </c>
      <c r="B769" s="257" t="s">
        <v>1252</v>
      </c>
      <c r="C769" s="257" t="s">
        <v>626</v>
      </c>
      <c r="D769" s="257" t="s">
        <v>118</v>
      </c>
      <c r="E769" s="259">
        <v>45050</v>
      </c>
      <c r="F769" s="259">
        <v>77.284790593385935</v>
      </c>
      <c r="G769" s="260">
        <v>582.90899999999999</v>
      </c>
      <c r="H769" s="261" t="s">
        <v>583</v>
      </c>
      <c r="I769" s="261" t="s">
        <v>1253</v>
      </c>
      <c r="J769" s="261" t="s">
        <v>98</v>
      </c>
      <c r="K769" s="274" t="s">
        <v>1902</v>
      </c>
      <c r="L769" s="261" t="s">
        <v>155</v>
      </c>
      <c r="M769" s="257"/>
      <c r="N769" s="257"/>
      <c r="O769" s="257"/>
    </row>
    <row r="770" spans="1:15" hidden="1">
      <c r="A770" s="256">
        <v>45777</v>
      </c>
      <c r="B770" s="257" t="s">
        <v>1254</v>
      </c>
      <c r="C770" s="257" t="s">
        <v>127</v>
      </c>
      <c r="D770" s="258" t="s">
        <v>988</v>
      </c>
      <c r="E770" s="259">
        <v>199400</v>
      </c>
      <c r="F770" s="259">
        <v>342.07740830901565</v>
      </c>
      <c r="G770" s="260">
        <v>582.90899999999999</v>
      </c>
      <c r="H770" s="261" t="s">
        <v>583</v>
      </c>
      <c r="I770" s="261" t="s">
        <v>1255</v>
      </c>
      <c r="J770" s="261" t="s">
        <v>98</v>
      </c>
      <c r="K770" s="274" t="s">
        <v>1902</v>
      </c>
      <c r="L770" s="261" t="s">
        <v>155</v>
      </c>
      <c r="M770" s="257"/>
      <c r="N770" s="257"/>
      <c r="O770" s="257"/>
    </row>
    <row r="771" spans="1:15" hidden="1">
      <c r="A771" s="256">
        <v>45777</v>
      </c>
      <c r="B771" s="257" t="s">
        <v>1267</v>
      </c>
      <c r="C771" s="257" t="s">
        <v>174</v>
      </c>
      <c r="D771" s="258" t="s">
        <v>442</v>
      </c>
      <c r="E771" s="259">
        <v>72100</v>
      </c>
      <c r="F771" s="259">
        <v>123.68997562226694</v>
      </c>
      <c r="G771" s="260">
        <v>582.90899999999999</v>
      </c>
      <c r="H771" s="261" t="s">
        <v>175</v>
      </c>
      <c r="I771" s="261" t="s">
        <v>1268</v>
      </c>
      <c r="J771" s="261" t="s">
        <v>98</v>
      </c>
      <c r="K771" s="274" t="s">
        <v>1902</v>
      </c>
      <c r="L771" s="261" t="s">
        <v>155</v>
      </c>
      <c r="M771" s="257"/>
      <c r="N771" s="257"/>
      <c r="O771" s="257"/>
    </row>
    <row r="772" spans="1:15" hidden="1">
      <c r="A772" s="256">
        <v>45777</v>
      </c>
      <c r="B772" s="257" t="s">
        <v>1378</v>
      </c>
      <c r="C772" s="257" t="s">
        <v>174</v>
      </c>
      <c r="D772" s="258" t="s">
        <v>117</v>
      </c>
      <c r="E772" s="259">
        <v>46800</v>
      </c>
      <c r="F772" s="259">
        <v>80.286974467712795</v>
      </c>
      <c r="G772" s="260">
        <v>582.90899999999999</v>
      </c>
      <c r="H772" s="261" t="s">
        <v>193</v>
      </c>
      <c r="I772" s="261" t="s">
        <v>1379</v>
      </c>
      <c r="J772" s="261" t="s">
        <v>98</v>
      </c>
      <c r="K772" s="274" t="s">
        <v>1902</v>
      </c>
      <c r="L772" s="261" t="s">
        <v>155</v>
      </c>
      <c r="M772" s="257"/>
      <c r="N772" s="257"/>
      <c r="O772" s="257"/>
    </row>
    <row r="773" spans="1:15" hidden="1">
      <c r="A773" s="256">
        <v>45777</v>
      </c>
      <c r="B773" s="257" t="s">
        <v>1402</v>
      </c>
      <c r="C773" s="263" t="s">
        <v>177</v>
      </c>
      <c r="D773" s="258" t="s">
        <v>117</v>
      </c>
      <c r="E773" s="259">
        <v>30000</v>
      </c>
      <c r="F773" s="259">
        <v>51.466009274174873</v>
      </c>
      <c r="G773" s="260">
        <v>582.90899999999999</v>
      </c>
      <c r="H773" s="261" t="s">
        <v>437</v>
      </c>
      <c r="I773" s="261" t="s">
        <v>1403</v>
      </c>
      <c r="J773" s="261" t="s">
        <v>98</v>
      </c>
      <c r="K773" s="274" t="s">
        <v>1902</v>
      </c>
      <c r="L773" s="261" t="s">
        <v>155</v>
      </c>
      <c r="M773" s="257"/>
      <c r="N773" s="257"/>
      <c r="O773" s="257"/>
    </row>
    <row r="774" spans="1:15" hidden="1">
      <c r="A774" s="256">
        <v>45777</v>
      </c>
      <c r="B774" s="257" t="s">
        <v>1404</v>
      </c>
      <c r="C774" s="257" t="s">
        <v>196</v>
      </c>
      <c r="D774" s="258" t="s">
        <v>117</v>
      </c>
      <c r="E774" s="259">
        <v>30000</v>
      </c>
      <c r="F774" s="259">
        <v>51.466009274174873</v>
      </c>
      <c r="G774" s="260">
        <v>582.90899999999999</v>
      </c>
      <c r="H774" s="261" t="s">
        <v>437</v>
      </c>
      <c r="I774" s="261" t="s">
        <v>1405</v>
      </c>
      <c r="J774" s="261" t="s">
        <v>98</v>
      </c>
      <c r="K774" s="274" t="s">
        <v>1902</v>
      </c>
      <c r="L774" s="261" t="s">
        <v>155</v>
      </c>
      <c r="M774" s="257"/>
      <c r="N774" s="257"/>
      <c r="O774" s="257"/>
    </row>
    <row r="775" spans="1:15" hidden="1">
      <c r="A775" s="256">
        <v>45777</v>
      </c>
      <c r="B775" s="257" t="s">
        <v>1438</v>
      </c>
      <c r="C775" s="257" t="s">
        <v>127</v>
      </c>
      <c r="D775" s="258" t="s">
        <v>442</v>
      </c>
      <c r="E775" s="259">
        <v>440000</v>
      </c>
      <c r="F775" s="259">
        <v>754.8348026878981</v>
      </c>
      <c r="G775" s="260">
        <v>582.90899999999999</v>
      </c>
      <c r="H775" s="261" t="s">
        <v>148</v>
      </c>
      <c r="I775" s="261" t="s">
        <v>1463</v>
      </c>
      <c r="J775" s="261" t="s">
        <v>98</v>
      </c>
      <c r="K775" s="274" t="s">
        <v>1902</v>
      </c>
      <c r="L775" s="261" t="s">
        <v>155</v>
      </c>
      <c r="M775" s="257"/>
      <c r="N775" s="257"/>
      <c r="O775" s="257"/>
    </row>
    <row r="776" spans="1:15" hidden="1">
      <c r="A776" s="256">
        <v>45777</v>
      </c>
      <c r="B776" s="257" t="s">
        <v>1439</v>
      </c>
      <c r="C776" s="257" t="s">
        <v>127</v>
      </c>
      <c r="D776" s="258" t="s">
        <v>442</v>
      </c>
      <c r="E776" s="259">
        <v>240000</v>
      </c>
      <c r="F776" s="259">
        <v>411.72807419339898</v>
      </c>
      <c r="G776" s="260">
        <v>582.90899999999999</v>
      </c>
      <c r="H776" s="261" t="s">
        <v>148</v>
      </c>
      <c r="I776" s="261" t="s">
        <v>1464</v>
      </c>
      <c r="J776" s="261" t="s">
        <v>98</v>
      </c>
      <c r="K776" s="274" t="s">
        <v>1902</v>
      </c>
      <c r="L776" s="261" t="s">
        <v>155</v>
      </c>
      <c r="M776" s="257"/>
      <c r="N776" s="257"/>
      <c r="O776" s="257"/>
    </row>
    <row r="777" spans="1:15" hidden="1">
      <c r="A777" s="256">
        <v>45777</v>
      </c>
      <c r="B777" s="257" t="s">
        <v>1440</v>
      </c>
      <c r="C777" s="257" t="s">
        <v>127</v>
      </c>
      <c r="D777" s="258" t="s">
        <v>442</v>
      </c>
      <c r="E777" s="259">
        <v>240000</v>
      </c>
      <c r="F777" s="259">
        <v>411.72807419339898</v>
      </c>
      <c r="G777" s="260">
        <v>582.90899999999999</v>
      </c>
      <c r="H777" s="261" t="s">
        <v>148</v>
      </c>
      <c r="I777" s="261" t="s">
        <v>1465</v>
      </c>
      <c r="J777" s="261" t="s">
        <v>98</v>
      </c>
      <c r="K777" s="274" t="s">
        <v>1902</v>
      </c>
      <c r="L777" s="261" t="s">
        <v>155</v>
      </c>
      <c r="M777" s="257"/>
      <c r="N777" s="257"/>
      <c r="O777" s="257"/>
    </row>
    <row r="778" spans="1:15" hidden="1">
      <c r="A778" s="256">
        <v>45778</v>
      </c>
      <c r="B778" s="257" t="s">
        <v>1561</v>
      </c>
      <c r="C778" s="263" t="s">
        <v>2088</v>
      </c>
      <c r="D778" s="257" t="s">
        <v>120</v>
      </c>
      <c r="E778" s="259">
        <v>124000</v>
      </c>
      <c r="F778" s="259">
        <v>213.92367065415789</v>
      </c>
      <c r="G778" s="269">
        <v>579.64599999999996</v>
      </c>
      <c r="H778" s="261" t="s">
        <v>213</v>
      </c>
      <c r="I778" s="266" t="s">
        <v>1822</v>
      </c>
      <c r="J778" s="261" t="s">
        <v>98</v>
      </c>
      <c r="K778" s="277" t="s">
        <v>202</v>
      </c>
      <c r="L778" s="261" t="s">
        <v>155</v>
      </c>
      <c r="M778" s="257"/>
      <c r="N778" s="257"/>
      <c r="O778" s="257"/>
    </row>
    <row r="779" spans="1:15" hidden="1">
      <c r="A779" s="256">
        <v>45780</v>
      </c>
      <c r="B779" s="257" t="s">
        <v>3224</v>
      </c>
      <c r="C779" s="257" t="s">
        <v>174</v>
      </c>
      <c r="D779" s="258" t="s">
        <v>442</v>
      </c>
      <c r="E779" s="259">
        <v>12000</v>
      </c>
      <c r="F779" s="259">
        <v>20.702290708466894</v>
      </c>
      <c r="G779" s="269">
        <v>579.64599999999996</v>
      </c>
      <c r="H779" s="261" t="s">
        <v>184</v>
      </c>
      <c r="I779" s="262" t="s">
        <v>1603</v>
      </c>
      <c r="J779" s="261" t="s">
        <v>98</v>
      </c>
      <c r="K779" s="277" t="s">
        <v>202</v>
      </c>
      <c r="L779" s="261" t="s">
        <v>155</v>
      </c>
      <c r="M779" s="257"/>
      <c r="N779" s="257"/>
      <c r="O779" s="257"/>
    </row>
    <row r="780" spans="1:15" hidden="1">
      <c r="A780" s="256">
        <v>45780</v>
      </c>
      <c r="B780" s="257" t="s">
        <v>3074</v>
      </c>
      <c r="C780" s="263" t="s">
        <v>177</v>
      </c>
      <c r="D780" s="258" t="s">
        <v>442</v>
      </c>
      <c r="E780" s="259">
        <v>70000</v>
      </c>
      <c r="F780" s="259">
        <v>120.76336246605688</v>
      </c>
      <c r="G780" s="269">
        <v>579.64599999999996</v>
      </c>
      <c r="H780" s="261" t="s">
        <v>184</v>
      </c>
      <c r="I780" s="262" t="s">
        <v>1604</v>
      </c>
      <c r="J780" s="261" t="s">
        <v>98</v>
      </c>
      <c r="K780" s="277" t="s">
        <v>202</v>
      </c>
      <c r="L780" s="261" t="s">
        <v>155</v>
      </c>
      <c r="M780" s="257"/>
      <c r="N780" s="257"/>
      <c r="O780" s="257"/>
    </row>
    <row r="781" spans="1:15" hidden="1">
      <c r="A781" s="256">
        <v>45780</v>
      </c>
      <c r="B781" s="257" t="s">
        <v>3168</v>
      </c>
      <c r="C781" s="257" t="s">
        <v>174</v>
      </c>
      <c r="D781" s="258" t="s">
        <v>442</v>
      </c>
      <c r="E781" s="259">
        <v>12000</v>
      </c>
      <c r="F781" s="259">
        <v>20.702290708466894</v>
      </c>
      <c r="G781" s="269">
        <v>579.64599999999996</v>
      </c>
      <c r="H781" s="261" t="s">
        <v>175</v>
      </c>
      <c r="I781" s="261" t="s">
        <v>1633</v>
      </c>
      <c r="J781" s="261" t="s">
        <v>98</v>
      </c>
      <c r="K781" s="277" t="s">
        <v>202</v>
      </c>
      <c r="L781" s="261" t="s">
        <v>155</v>
      </c>
      <c r="M781" s="257"/>
      <c r="N781" s="257"/>
      <c r="O781" s="257"/>
    </row>
    <row r="782" spans="1:15" hidden="1">
      <c r="A782" s="256">
        <v>45780</v>
      </c>
      <c r="B782" s="257" t="s">
        <v>2991</v>
      </c>
      <c r="C782" s="263" t="s">
        <v>177</v>
      </c>
      <c r="D782" s="258" t="s">
        <v>442</v>
      </c>
      <c r="E782" s="259">
        <v>70000</v>
      </c>
      <c r="F782" s="259">
        <v>120.76336246605688</v>
      </c>
      <c r="G782" s="269">
        <v>579.64599999999996</v>
      </c>
      <c r="H782" s="261" t="s">
        <v>175</v>
      </c>
      <c r="I782" s="261" t="s">
        <v>1634</v>
      </c>
      <c r="J782" s="261" t="s">
        <v>98</v>
      </c>
      <c r="K782" s="277" t="s">
        <v>202</v>
      </c>
      <c r="L782" s="261" t="s">
        <v>155</v>
      </c>
      <c r="M782" s="257"/>
      <c r="N782" s="257"/>
      <c r="O782" s="257"/>
    </row>
    <row r="783" spans="1:15" hidden="1">
      <c r="A783" s="256">
        <v>45780</v>
      </c>
      <c r="B783" s="257" t="s">
        <v>3199</v>
      </c>
      <c r="C783" s="257" t="s">
        <v>174</v>
      </c>
      <c r="D783" s="258" t="s">
        <v>442</v>
      </c>
      <c r="E783" s="259">
        <v>7000</v>
      </c>
      <c r="F783" s="259">
        <v>12.076336246605688</v>
      </c>
      <c r="G783" s="269">
        <v>579.64599999999996</v>
      </c>
      <c r="H783" s="261" t="s">
        <v>323</v>
      </c>
      <c r="I783" s="261" t="s">
        <v>1658</v>
      </c>
      <c r="J783" s="261" t="s">
        <v>98</v>
      </c>
      <c r="K783" s="277" t="s">
        <v>202</v>
      </c>
      <c r="L783" s="261" t="s">
        <v>155</v>
      </c>
      <c r="M783" s="257"/>
      <c r="N783" s="257"/>
      <c r="O783" s="257"/>
    </row>
    <row r="784" spans="1:15" hidden="1">
      <c r="A784" s="256">
        <v>45780</v>
      </c>
      <c r="B784" s="257" t="s">
        <v>3225</v>
      </c>
      <c r="C784" s="263" t="s">
        <v>177</v>
      </c>
      <c r="D784" s="258" t="s">
        <v>442</v>
      </c>
      <c r="E784" s="259">
        <v>70000</v>
      </c>
      <c r="F784" s="259">
        <v>120.76336246605688</v>
      </c>
      <c r="G784" s="269">
        <v>579.64599999999996</v>
      </c>
      <c r="H784" s="261" t="s">
        <v>323</v>
      </c>
      <c r="I784" s="261" t="s">
        <v>1659</v>
      </c>
      <c r="J784" s="261" t="s">
        <v>98</v>
      </c>
      <c r="K784" s="277" t="s">
        <v>202</v>
      </c>
      <c r="L784" s="261" t="s">
        <v>155</v>
      </c>
      <c r="M784" s="257"/>
      <c r="N784" s="257"/>
      <c r="O784" s="257"/>
    </row>
    <row r="785" spans="1:15" hidden="1">
      <c r="A785" s="256">
        <v>45780</v>
      </c>
      <c r="B785" s="257" t="s">
        <v>3199</v>
      </c>
      <c r="C785" s="257" t="s">
        <v>174</v>
      </c>
      <c r="D785" s="258" t="s">
        <v>442</v>
      </c>
      <c r="E785" s="259">
        <v>4000</v>
      </c>
      <c r="F785" s="259">
        <v>6.9007635694889649</v>
      </c>
      <c r="G785" s="269">
        <v>579.64599999999996</v>
      </c>
      <c r="H785" s="261" t="s">
        <v>323</v>
      </c>
      <c r="I785" s="261" t="s">
        <v>1660</v>
      </c>
      <c r="J785" s="261" t="s">
        <v>98</v>
      </c>
      <c r="K785" s="277" t="s">
        <v>202</v>
      </c>
      <c r="L785" s="261" t="s">
        <v>155</v>
      </c>
      <c r="M785" s="257"/>
      <c r="N785" s="257"/>
      <c r="O785" s="257"/>
    </row>
    <row r="786" spans="1:15" hidden="1">
      <c r="A786" s="256">
        <v>45782</v>
      </c>
      <c r="B786" s="257" t="s">
        <v>1527</v>
      </c>
      <c r="C786" s="257" t="s">
        <v>127</v>
      </c>
      <c r="D786" s="258" t="s">
        <v>117</v>
      </c>
      <c r="E786" s="259">
        <v>200000</v>
      </c>
      <c r="F786" s="259">
        <v>343.10696393911502</v>
      </c>
      <c r="G786" s="260">
        <v>582.90899999999999</v>
      </c>
      <c r="H786" s="261" t="s">
        <v>148</v>
      </c>
      <c r="I786" s="261" t="s">
        <v>1873</v>
      </c>
      <c r="J786" s="261" t="s">
        <v>98</v>
      </c>
      <c r="K786" s="274" t="s">
        <v>1902</v>
      </c>
      <c r="L786" s="279" t="s">
        <v>155</v>
      </c>
      <c r="M786" s="257"/>
      <c r="N786" s="257"/>
      <c r="O786" s="257"/>
    </row>
    <row r="787" spans="1:15" hidden="1">
      <c r="A787" s="256">
        <v>45782</v>
      </c>
      <c r="B787" s="257" t="s">
        <v>1580</v>
      </c>
      <c r="C787" s="257" t="s">
        <v>152</v>
      </c>
      <c r="D787" s="257" t="s">
        <v>119</v>
      </c>
      <c r="E787" s="259">
        <v>21000</v>
      </c>
      <c r="F787" s="259">
        <v>36.026231213607076</v>
      </c>
      <c r="G787" s="269">
        <v>579.64599999999996</v>
      </c>
      <c r="H787" s="261" t="s">
        <v>153</v>
      </c>
      <c r="I787" s="280" t="s">
        <v>1686</v>
      </c>
      <c r="J787" s="261" t="s">
        <v>98</v>
      </c>
      <c r="K787" s="277" t="s">
        <v>202</v>
      </c>
      <c r="L787" s="261" t="s">
        <v>155</v>
      </c>
      <c r="M787" s="257"/>
      <c r="N787" s="257"/>
      <c r="O787" s="257"/>
    </row>
    <row r="788" spans="1:15" hidden="1">
      <c r="A788" s="256">
        <v>45782</v>
      </c>
      <c r="B788" s="257" t="s">
        <v>1579</v>
      </c>
      <c r="C788" s="257" t="s">
        <v>152</v>
      </c>
      <c r="D788" s="258" t="s">
        <v>117</v>
      </c>
      <c r="E788" s="259">
        <v>16000</v>
      </c>
      <c r="F788" s="259">
        <v>27.448557115129201</v>
      </c>
      <c r="G788" s="269">
        <v>579.64599999999996</v>
      </c>
      <c r="H788" s="261" t="s">
        <v>200</v>
      </c>
      <c r="I788" s="262" t="s">
        <v>1694</v>
      </c>
      <c r="J788" s="261" t="s">
        <v>98</v>
      </c>
      <c r="K788" s="277" t="s">
        <v>202</v>
      </c>
      <c r="L788" s="261" t="s">
        <v>155</v>
      </c>
      <c r="M788" s="257"/>
      <c r="N788" s="257"/>
      <c r="O788" s="257"/>
    </row>
    <row r="789" spans="1:15" hidden="1">
      <c r="A789" s="256">
        <v>45782</v>
      </c>
      <c r="B789" s="257" t="s">
        <v>1582</v>
      </c>
      <c r="C789" s="257" t="s">
        <v>152</v>
      </c>
      <c r="D789" s="258" t="s">
        <v>117</v>
      </c>
      <c r="E789" s="259">
        <v>5000</v>
      </c>
      <c r="F789" s="259">
        <v>8.5776740984778748</v>
      </c>
      <c r="G789" s="269">
        <v>579.64599999999996</v>
      </c>
      <c r="H789" s="261" t="s">
        <v>200</v>
      </c>
      <c r="I789" s="262" t="s">
        <v>1695</v>
      </c>
      <c r="J789" s="261" t="s">
        <v>98</v>
      </c>
      <c r="K789" s="277" t="s">
        <v>202</v>
      </c>
      <c r="L789" s="261" t="s">
        <v>155</v>
      </c>
      <c r="M789" s="257"/>
      <c r="N789" s="257"/>
      <c r="O789" s="257"/>
    </row>
    <row r="790" spans="1:15" hidden="1">
      <c r="A790" s="256">
        <v>45782</v>
      </c>
      <c r="B790" s="257" t="s">
        <v>1696</v>
      </c>
      <c r="C790" s="257" t="s">
        <v>127</v>
      </c>
      <c r="D790" s="258" t="s">
        <v>117</v>
      </c>
      <c r="E790" s="259">
        <v>30000</v>
      </c>
      <c r="F790" s="259">
        <v>51.466044590867249</v>
      </c>
      <c r="G790" s="260">
        <v>582.90899999999999</v>
      </c>
      <c r="H790" s="261" t="s">
        <v>200</v>
      </c>
      <c r="I790" s="266" t="s">
        <v>1693</v>
      </c>
      <c r="J790" s="261" t="s">
        <v>98</v>
      </c>
      <c r="K790" s="274" t="s">
        <v>1902</v>
      </c>
      <c r="L790" s="279" t="s">
        <v>155</v>
      </c>
      <c r="M790" s="257"/>
      <c r="N790" s="257"/>
      <c r="O790" s="257"/>
    </row>
    <row r="791" spans="1:15" hidden="1">
      <c r="A791" s="256">
        <v>45782</v>
      </c>
      <c r="B791" s="257" t="s">
        <v>1533</v>
      </c>
      <c r="C791" s="264" t="s">
        <v>2086</v>
      </c>
      <c r="D791" s="257" t="s">
        <v>118</v>
      </c>
      <c r="E791" s="259">
        <v>3225</v>
      </c>
      <c r="F791" s="259">
        <v>5.5325997935182292</v>
      </c>
      <c r="G791" s="269">
        <v>579.64599999999996</v>
      </c>
      <c r="H791" s="261" t="s">
        <v>583</v>
      </c>
      <c r="I791" s="261" t="s">
        <v>1725</v>
      </c>
      <c r="J791" s="261" t="s">
        <v>98</v>
      </c>
      <c r="K791" s="277" t="s">
        <v>202</v>
      </c>
      <c r="L791" s="261" t="s">
        <v>155</v>
      </c>
      <c r="M791" s="257"/>
      <c r="N791" s="257"/>
      <c r="O791" s="257"/>
    </row>
    <row r="792" spans="1:15" hidden="1">
      <c r="A792" s="256">
        <v>45782</v>
      </c>
      <c r="B792" s="257" t="s">
        <v>1739</v>
      </c>
      <c r="C792" s="257" t="s">
        <v>127</v>
      </c>
      <c r="D792" s="257" t="s">
        <v>118</v>
      </c>
      <c r="E792" s="259">
        <v>30000</v>
      </c>
      <c r="F792" s="259">
        <v>51.466044590867249</v>
      </c>
      <c r="G792" s="260">
        <v>582.90899999999999</v>
      </c>
      <c r="H792" s="261" t="s">
        <v>583</v>
      </c>
      <c r="I792" s="266" t="s">
        <v>1726</v>
      </c>
      <c r="J792" s="261" t="s">
        <v>98</v>
      </c>
      <c r="K792" s="274" t="s">
        <v>1902</v>
      </c>
      <c r="L792" s="279" t="s">
        <v>155</v>
      </c>
      <c r="M792" s="257"/>
      <c r="N792" s="257"/>
      <c r="O792" s="257"/>
    </row>
    <row r="793" spans="1:15" hidden="1">
      <c r="A793" s="256">
        <v>45782</v>
      </c>
      <c r="B793" s="257" t="s">
        <v>1581</v>
      </c>
      <c r="C793" s="257" t="s">
        <v>152</v>
      </c>
      <c r="D793" s="257" t="s">
        <v>1566</v>
      </c>
      <c r="E793" s="259">
        <v>21000</v>
      </c>
      <c r="F793" s="259">
        <v>36.026231213607076</v>
      </c>
      <c r="G793" s="269">
        <v>579.64599999999996</v>
      </c>
      <c r="H793" s="261" t="s">
        <v>583</v>
      </c>
      <c r="I793" s="261" t="s">
        <v>1740</v>
      </c>
      <c r="J793" s="261" t="s">
        <v>98</v>
      </c>
      <c r="K793" s="277" t="s">
        <v>202</v>
      </c>
      <c r="L793" s="261" t="s">
        <v>155</v>
      </c>
      <c r="M793" s="257"/>
      <c r="N793" s="257"/>
      <c r="O793" s="257"/>
    </row>
    <row r="794" spans="1:15" hidden="1">
      <c r="A794" s="256">
        <v>45782</v>
      </c>
      <c r="B794" s="257" t="s">
        <v>1563</v>
      </c>
      <c r="C794" s="257" t="s">
        <v>152</v>
      </c>
      <c r="D794" s="258" t="s">
        <v>442</v>
      </c>
      <c r="E794" s="259">
        <v>10000</v>
      </c>
      <c r="F794" s="259">
        <v>17.15534819695575</v>
      </c>
      <c r="G794" s="269">
        <v>579.64599999999996</v>
      </c>
      <c r="H794" s="261" t="s">
        <v>184</v>
      </c>
      <c r="I794" s="262" t="s">
        <v>1627</v>
      </c>
      <c r="J794" s="261" t="s">
        <v>98</v>
      </c>
      <c r="K794" s="277" t="s">
        <v>202</v>
      </c>
      <c r="L794" s="261" t="s">
        <v>155</v>
      </c>
      <c r="M794" s="257"/>
      <c r="N794" s="257"/>
      <c r="O794" s="257"/>
    </row>
    <row r="795" spans="1:15" hidden="1">
      <c r="A795" s="256">
        <v>45782</v>
      </c>
      <c r="B795" s="257" t="s">
        <v>1565</v>
      </c>
      <c r="C795" s="257" t="s">
        <v>152</v>
      </c>
      <c r="D795" s="258" t="s">
        <v>442</v>
      </c>
      <c r="E795" s="259">
        <v>16000</v>
      </c>
      <c r="F795" s="259">
        <v>27.448557115129201</v>
      </c>
      <c r="G795" s="269">
        <v>579.64599999999996</v>
      </c>
      <c r="H795" s="261" t="s">
        <v>184</v>
      </c>
      <c r="I795" s="262" t="s">
        <v>1628</v>
      </c>
      <c r="J795" s="261" t="s">
        <v>98</v>
      </c>
      <c r="K795" s="277" t="s">
        <v>202</v>
      </c>
      <c r="L795" s="261" t="s">
        <v>155</v>
      </c>
      <c r="M795" s="257"/>
      <c r="N795" s="257"/>
      <c r="O795" s="257"/>
    </row>
    <row r="796" spans="1:15" hidden="1">
      <c r="A796" s="256">
        <v>45782</v>
      </c>
      <c r="B796" s="257" t="s">
        <v>1563</v>
      </c>
      <c r="C796" s="257" t="s">
        <v>152</v>
      </c>
      <c r="D796" s="258" t="s">
        <v>442</v>
      </c>
      <c r="E796" s="259">
        <v>26000</v>
      </c>
      <c r="F796" s="259">
        <v>44.603905312084947</v>
      </c>
      <c r="G796" s="269">
        <v>579.64599999999996</v>
      </c>
      <c r="H796" s="261" t="s">
        <v>175</v>
      </c>
      <c r="I796" s="261" t="s">
        <v>1655</v>
      </c>
      <c r="J796" s="261" t="s">
        <v>98</v>
      </c>
      <c r="K796" s="277" t="s">
        <v>202</v>
      </c>
      <c r="L796" s="261" t="s">
        <v>155</v>
      </c>
      <c r="M796" s="257"/>
      <c r="N796" s="257"/>
      <c r="O796" s="257"/>
    </row>
    <row r="797" spans="1:15" hidden="1">
      <c r="A797" s="256">
        <v>45782</v>
      </c>
      <c r="B797" s="257" t="s">
        <v>1562</v>
      </c>
      <c r="C797" s="257" t="s">
        <v>152</v>
      </c>
      <c r="D797" s="258" t="s">
        <v>442</v>
      </c>
      <c r="E797" s="259">
        <v>26000</v>
      </c>
      <c r="F797" s="259">
        <v>44.603905312084947</v>
      </c>
      <c r="G797" s="269">
        <v>579.64599999999996</v>
      </c>
      <c r="H797" s="261" t="s">
        <v>323</v>
      </c>
      <c r="I797" s="261" t="s">
        <v>1682</v>
      </c>
      <c r="J797" s="261" t="s">
        <v>98</v>
      </c>
      <c r="K797" s="277" t="s">
        <v>202</v>
      </c>
      <c r="L797" s="261" t="s">
        <v>155</v>
      </c>
      <c r="M797" s="257"/>
      <c r="N797" s="257"/>
      <c r="O797" s="257"/>
    </row>
    <row r="798" spans="1:15" hidden="1">
      <c r="A798" s="256">
        <v>45782</v>
      </c>
      <c r="B798" s="257" t="s">
        <v>1579</v>
      </c>
      <c r="C798" s="257" t="s">
        <v>152</v>
      </c>
      <c r="D798" s="258" t="s">
        <v>117</v>
      </c>
      <c r="E798" s="259">
        <v>16000</v>
      </c>
      <c r="F798" s="259">
        <v>27.448557115129201</v>
      </c>
      <c r="G798" s="269">
        <v>579.64599999999996</v>
      </c>
      <c r="H798" s="261" t="s">
        <v>190</v>
      </c>
      <c r="I798" s="261" t="s">
        <v>1752</v>
      </c>
      <c r="J798" s="261" t="s">
        <v>98</v>
      </c>
      <c r="K798" s="277" t="s">
        <v>202</v>
      </c>
      <c r="L798" s="261" t="s">
        <v>155</v>
      </c>
      <c r="M798" s="257"/>
      <c r="N798" s="257"/>
      <c r="O798" s="257"/>
    </row>
    <row r="799" spans="1:15" hidden="1">
      <c r="A799" s="256">
        <v>45782</v>
      </c>
      <c r="B799" s="257" t="s">
        <v>1564</v>
      </c>
      <c r="C799" s="257" t="s">
        <v>152</v>
      </c>
      <c r="D799" s="258" t="s">
        <v>117</v>
      </c>
      <c r="E799" s="259">
        <v>5000</v>
      </c>
      <c r="F799" s="259">
        <v>8.5776740984778748</v>
      </c>
      <c r="G799" s="269">
        <v>579.64599999999996</v>
      </c>
      <c r="H799" s="261" t="s">
        <v>190</v>
      </c>
      <c r="I799" s="261" t="s">
        <v>1753</v>
      </c>
      <c r="J799" s="261" t="s">
        <v>98</v>
      </c>
      <c r="K799" s="277" t="s">
        <v>202</v>
      </c>
      <c r="L799" s="261" t="s">
        <v>155</v>
      </c>
      <c r="M799" s="257"/>
      <c r="N799" s="257"/>
      <c r="O799" s="257"/>
    </row>
    <row r="800" spans="1:15" hidden="1">
      <c r="A800" s="256">
        <v>45782</v>
      </c>
      <c r="B800" s="257" t="s">
        <v>1534</v>
      </c>
      <c r="C800" s="264" t="s">
        <v>2086</v>
      </c>
      <c r="D800" s="257" t="s">
        <v>118</v>
      </c>
      <c r="E800" s="259">
        <v>4960</v>
      </c>
      <c r="F800" s="259">
        <v>8.5090527056900527</v>
      </c>
      <c r="G800" s="269">
        <v>579.64599999999996</v>
      </c>
      <c r="H800" s="261" t="s">
        <v>190</v>
      </c>
      <c r="I800" s="261" t="s">
        <v>1745</v>
      </c>
      <c r="J800" s="261" t="s">
        <v>98</v>
      </c>
      <c r="K800" s="277" t="s">
        <v>202</v>
      </c>
      <c r="L800" s="261" t="s">
        <v>155</v>
      </c>
      <c r="M800" s="257"/>
      <c r="N800" s="257"/>
      <c r="O800" s="257"/>
    </row>
    <row r="801" spans="1:15" hidden="1">
      <c r="A801" s="256">
        <v>45782</v>
      </c>
      <c r="B801" s="257" t="s">
        <v>1844</v>
      </c>
      <c r="C801" s="257" t="s">
        <v>127</v>
      </c>
      <c r="D801" s="258" t="s">
        <v>117</v>
      </c>
      <c r="E801" s="259">
        <v>30000</v>
      </c>
      <c r="F801" s="259">
        <v>51.466044590867249</v>
      </c>
      <c r="G801" s="260">
        <v>582.90899999999999</v>
      </c>
      <c r="H801" s="261" t="s">
        <v>190</v>
      </c>
      <c r="I801" s="266" t="s">
        <v>1746</v>
      </c>
      <c r="J801" s="261" t="s">
        <v>98</v>
      </c>
      <c r="K801" s="274" t="s">
        <v>1902</v>
      </c>
      <c r="L801" s="279" t="s">
        <v>155</v>
      </c>
      <c r="M801" s="257"/>
      <c r="N801" s="257"/>
      <c r="O801" s="257"/>
    </row>
    <row r="802" spans="1:15" hidden="1">
      <c r="A802" s="256">
        <v>45782</v>
      </c>
      <c r="B802" s="257" t="s">
        <v>1891</v>
      </c>
      <c r="C802" s="257" t="s">
        <v>127</v>
      </c>
      <c r="D802" s="258" t="s">
        <v>117</v>
      </c>
      <c r="E802" s="259">
        <v>30000</v>
      </c>
      <c r="F802" s="259">
        <v>51.466044590867249</v>
      </c>
      <c r="G802" s="260">
        <v>582.90899999999999</v>
      </c>
      <c r="H802" s="261" t="s">
        <v>193</v>
      </c>
      <c r="I802" s="266" t="s">
        <v>1773</v>
      </c>
      <c r="J802" s="261" t="s">
        <v>98</v>
      </c>
      <c r="K802" s="274" t="s">
        <v>1902</v>
      </c>
      <c r="L802" s="279" t="s">
        <v>155</v>
      </c>
      <c r="M802" s="257"/>
      <c r="N802" s="257"/>
      <c r="O802" s="257"/>
    </row>
    <row r="803" spans="1:15" hidden="1">
      <c r="A803" s="256">
        <v>45782</v>
      </c>
      <c r="B803" s="257" t="s">
        <v>1892</v>
      </c>
      <c r="C803" s="257" t="s">
        <v>127</v>
      </c>
      <c r="D803" s="258" t="s">
        <v>117</v>
      </c>
      <c r="E803" s="259">
        <v>30000</v>
      </c>
      <c r="F803" s="259">
        <v>51.466044590867249</v>
      </c>
      <c r="G803" s="260">
        <v>582.90899999999999</v>
      </c>
      <c r="H803" s="261" t="s">
        <v>437</v>
      </c>
      <c r="I803" s="266" t="s">
        <v>1872</v>
      </c>
      <c r="J803" s="261" t="s">
        <v>98</v>
      </c>
      <c r="K803" s="274" t="s">
        <v>1902</v>
      </c>
      <c r="L803" s="279" t="s">
        <v>155</v>
      </c>
      <c r="M803" s="257"/>
      <c r="N803" s="257"/>
      <c r="O803" s="257"/>
    </row>
    <row r="804" spans="1:15" hidden="1">
      <c r="A804" s="256">
        <v>45782</v>
      </c>
      <c r="B804" s="257" t="s">
        <v>1579</v>
      </c>
      <c r="C804" s="257" t="s">
        <v>152</v>
      </c>
      <c r="D804" s="258" t="s">
        <v>117</v>
      </c>
      <c r="E804" s="259">
        <v>21000</v>
      </c>
      <c r="F804" s="259">
        <v>36.026231213607076</v>
      </c>
      <c r="G804" s="269">
        <v>579.64599999999996</v>
      </c>
      <c r="H804" s="261" t="s">
        <v>437</v>
      </c>
      <c r="I804" s="261" t="s">
        <v>1794</v>
      </c>
      <c r="J804" s="261" t="s">
        <v>98</v>
      </c>
      <c r="K804" s="277" t="s">
        <v>202</v>
      </c>
      <c r="L804" s="261" t="s">
        <v>155</v>
      </c>
      <c r="M804" s="257"/>
      <c r="N804" s="257"/>
      <c r="O804" s="257"/>
    </row>
    <row r="805" spans="1:15" hidden="1">
      <c r="A805" s="256">
        <v>45782</v>
      </c>
      <c r="B805" s="257" t="s">
        <v>1772</v>
      </c>
      <c r="C805" s="257" t="s">
        <v>127</v>
      </c>
      <c r="D805" s="258" t="s">
        <v>117</v>
      </c>
      <c r="E805" s="259">
        <v>30000</v>
      </c>
      <c r="F805" s="259">
        <v>51.466044590867249</v>
      </c>
      <c r="G805" s="260">
        <v>582.90899999999999</v>
      </c>
      <c r="H805" s="261" t="s">
        <v>187</v>
      </c>
      <c r="I805" s="266" t="s">
        <v>1769</v>
      </c>
      <c r="J805" s="261" t="s">
        <v>98</v>
      </c>
      <c r="K805" s="274" t="s">
        <v>1902</v>
      </c>
      <c r="L805" s="279" t="s">
        <v>155</v>
      </c>
      <c r="M805" s="257"/>
      <c r="N805" s="257"/>
      <c r="O805" s="257"/>
    </row>
    <row r="806" spans="1:15" hidden="1">
      <c r="A806" s="256">
        <v>45782</v>
      </c>
      <c r="B806" s="257" t="s">
        <v>1579</v>
      </c>
      <c r="C806" s="257" t="s">
        <v>152</v>
      </c>
      <c r="D806" s="258" t="s">
        <v>117</v>
      </c>
      <c r="E806" s="259">
        <v>21000</v>
      </c>
      <c r="F806" s="259">
        <v>36.026231213607076</v>
      </c>
      <c r="G806" s="269">
        <v>579.64599999999996</v>
      </c>
      <c r="H806" s="261" t="s">
        <v>187</v>
      </c>
      <c r="I806" s="261" t="s">
        <v>1847</v>
      </c>
      <c r="J806" s="261" t="s">
        <v>98</v>
      </c>
      <c r="K806" s="277" t="s">
        <v>202</v>
      </c>
      <c r="L806" s="261" t="s">
        <v>155</v>
      </c>
      <c r="M806" s="257"/>
      <c r="N806" s="257"/>
      <c r="O806" s="257"/>
    </row>
    <row r="807" spans="1:15" hidden="1">
      <c r="A807" s="256">
        <v>45783</v>
      </c>
      <c r="B807" s="257" t="s">
        <v>1514</v>
      </c>
      <c r="C807" s="257" t="s">
        <v>123</v>
      </c>
      <c r="D807" s="258" t="s">
        <v>117</v>
      </c>
      <c r="E807" s="259">
        <v>300000</v>
      </c>
      <c r="F807" s="259">
        <v>514.6604459086725</v>
      </c>
      <c r="G807" s="269">
        <v>579.64599999999996</v>
      </c>
      <c r="H807" s="261" t="s">
        <v>148</v>
      </c>
      <c r="I807" s="261" t="s">
        <v>1874</v>
      </c>
      <c r="J807" s="261" t="s">
        <v>98</v>
      </c>
      <c r="K807" s="277" t="s">
        <v>202</v>
      </c>
      <c r="L807" s="261" t="s">
        <v>155</v>
      </c>
      <c r="M807" s="257"/>
      <c r="N807" s="257"/>
      <c r="O807" s="257"/>
    </row>
    <row r="808" spans="1:15" hidden="1">
      <c r="A808" s="256">
        <v>45783</v>
      </c>
      <c r="B808" s="257" t="s">
        <v>1687</v>
      </c>
      <c r="C808" s="257" t="s">
        <v>127</v>
      </c>
      <c r="D808" s="257" t="s">
        <v>119</v>
      </c>
      <c r="E808" s="259">
        <v>174625</v>
      </c>
      <c r="F808" s="259">
        <v>299.57526788933978</v>
      </c>
      <c r="G808" s="260">
        <v>582.90899999999999</v>
      </c>
      <c r="H808" s="261" t="s">
        <v>153</v>
      </c>
      <c r="I808" s="280" t="s">
        <v>1688</v>
      </c>
      <c r="J808" s="261" t="s">
        <v>98</v>
      </c>
      <c r="K808" s="274" t="s">
        <v>1902</v>
      </c>
      <c r="L808" s="279" t="s">
        <v>155</v>
      </c>
      <c r="M808" s="257"/>
      <c r="N808" s="257"/>
      <c r="O808" s="257"/>
    </row>
    <row r="809" spans="1:15" hidden="1">
      <c r="A809" s="256">
        <v>45783</v>
      </c>
      <c r="B809" s="257" t="s">
        <v>3026</v>
      </c>
      <c r="C809" s="263" t="s">
        <v>177</v>
      </c>
      <c r="D809" s="258" t="s">
        <v>442</v>
      </c>
      <c r="E809" s="259">
        <v>45000</v>
      </c>
      <c r="F809" s="259">
        <v>77.199066886300869</v>
      </c>
      <c r="G809" s="269">
        <v>579.64599999999996</v>
      </c>
      <c r="H809" s="261" t="s">
        <v>184</v>
      </c>
      <c r="I809" s="262" t="s">
        <v>1605</v>
      </c>
      <c r="J809" s="261" t="s">
        <v>98</v>
      </c>
      <c r="K809" s="277" t="s">
        <v>202</v>
      </c>
      <c r="L809" s="261" t="s">
        <v>155</v>
      </c>
      <c r="M809" s="257"/>
      <c r="N809" s="257"/>
      <c r="O809" s="257"/>
    </row>
    <row r="810" spans="1:15" hidden="1">
      <c r="A810" s="256">
        <v>45783</v>
      </c>
      <c r="B810" s="257" t="s">
        <v>3076</v>
      </c>
      <c r="C810" s="257" t="s">
        <v>174</v>
      </c>
      <c r="D810" s="258" t="s">
        <v>442</v>
      </c>
      <c r="E810" s="259">
        <v>6000</v>
      </c>
      <c r="F810" s="259">
        <v>10.29320891817345</v>
      </c>
      <c r="G810" s="269">
        <v>579.64599999999996</v>
      </c>
      <c r="H810" s="261" t="s">
        <v>184</v>
      </c>
      <c r="I810" s="262" t="s">
        <v>1606</v>
      </c>
      <c r="J810" s="261" t="s">
        <v>98</v>
      </c>
      <c r="K810" s="277" t="s">
        <v>202</v>
      </c>
      <c r="L810" s="261" t="s">
        <v>155</v>
      </c>
      <c r="M810" s="257"/>
      <c r="N810" s="257"/>
      <c r="O810" s="257"/>
    </row>
    <row r="811" spans="1:15" hidden="1">
      <c r="A811" s="256">
        <v>45783</v>
      </c>
      <c r="B811" s="257" t="s">
        <v>2992</v>
      </c>
      <c r="C811" s="263" t="s">
        <v>177</v>
      </c>
      <c r="D811" s="258" t="s">
        <v>442</v>
      </c>
      <c r="E811" s="259">
        <v>45000</v>
      </c>
      <c r="F811" s="259">
        <v>77.199066886300869</v>
      </c>
      <c r="G811" s="269">
        <v>579.64599999999996</v>
      </c>
      <c r="H811" s="261" t="s">
        <v>175</v>
      </c>
      <c r="I811" s="261" t="s">
        <v>1635</v>
      </c>
      <c r="J811" s="261" t="s">
        <v>98</v>
      </c>
      <c r="K811" s="277" t="s">
        <v>202</v>
      </c>
      <c r="L811" s="261" t="s">
        <v>155</v>
      </c>
      <c r="M811" s="257"/>
      <c r="N811" s="257"/>
      <c r="O811" s="257"/>
    </row>
    <row r="812" spans="1:15" hidden="1">
      <c r="A812" s="256">
        <v>45783</v>
      </c>
      <c r="B812" s="257" t="s">
        <v>2990</v>
      </c>
      <c r="C812" s="257" t="s">
        <v>174</v>
      </c>
      <c r="D812" s="258" t="s">
        <v>442</v>
      </c>
      <c r="E812" s="259">
        <v>5000</v>
      </c>
      <c r="F812" s="259">
        <v>8.5776740984778748</v>
      </c>
      <c r="G812" s="269">
        <v>579.64599999999996</v>
      </c>
      <c r="H812" s="261" t="s">
        <v>175</v>
      </c>
      <c r="I812" s="261" t="s">
        <v>1636</v>
      </c>
      <c r="J812" s="261" t="s">
        <v>98</v>
      </c>
      <c r="K812" s="277" t="s">
        <v>202</v>
      </c>
      <c r="L812" s="261" t="s">
        <v>155</v>
      </c>
      <c r="M812" s="257"/>
      <c r="N812" s="257"/>
      <c r="O812" s="257"/>
    </row>
    <row r="813" spans="1:15" hidden="1">
      <c r="A813" s="256">
        <v>45783</v>
      </c>
      <c r="B813" s="257" t="s">
        <v>3226</v>
      </c>
      <c r="C813" s="263" t="s">
        <v>177</v>
      </c>
      <c r="D813" s="258" t="s">
        <v>442</v>
      </c>
      <c r="E813" s="259">
        <v>45000</v>
      </c>
      <c r="F813" s="259">
        <v>77.199066886300869</v>
      </c>
      <c r="G813" s="269">
        <v>579.64599999999996</v>
      </c>
      <c r="H813" s="261" t="s">
        <v>323</v>
      </c>
      <c r="I813" s="261" t="s">
        <v>1661</v>
      </c>
      <c r="J813" s="261" t="s">
        <v>98</v>
      </c>
      <c r="K813" s="277" t="s">
        <v>202</v>
      </c>
      <c r="L813" s="261" t="s">
        <v>155</v>
      </c>
      <c r="M813" s="257"/>
      <c r="N813" s="257"/>
      <c r="O813" s="257"/>
    </row>
    <row r="814" spans="1:15" hidden="1">
      <c r="A814" s="256">
        <v>45783</v>
      </c>
      <c r="B814" s="257" t="s">
        <v>3199</v>
      </c>
      <c r="C814" s="257" t="s">
        <v>174</v>
      </c>
      <c r="D814" s="258" t="s">
        <v>442</v>
      </c>
      <c r="E814" s="259">
        <v>10000</v>
      </c>
      <c r="F814" s="259">
        <v>17.15534819695575</v>
      </c>
      <c r="G814" s="269">
        <v>579.64599999999996</v>
      </c>
      <c r="H814" s="261" t="s">
        <v>323</v>
      </c>
      <c r="I814" s="261" t="s">
        <v>1662</v>
      </c>
      <c r="J814" s="261" t="s">
        <v>98</v>
      </c>
      <c r="K814" s="277" t="s">
        <v>202</v>
      </c>
      <c r="L814" s="261" t="s">
        <v>155</v>
      </c>
      <c r="M814" s="257"/>
      <c r="N814" s="257"/>
      <c r="O814" s="257"/>
    </row>
    <row r="815" spans="1:15" hidden="1">
      <c r="A815" s="256">
        <v>45783</v>
      </c>
      <c r="B815" s="257" t="s">
        <v>1535</v>
      </c>
      <c r="C815" s="257" t="s">
        <v>174</v>
      </c>
      <c r="D815" s="258" t="s">
        <v>117</v>
      </c>
      <c r="E815" s="259">
        <v>28000</v>
      </c>
      <c r="F815" s="259">
        <v>48.034974951476102</v>
      </c>
      <c r="G815" s="269">
        <v>579.64599999999996</v>
      </c>
      <c r="H815" s="261" t="s">
        <v>190</v>
      </c>
      <c r="I815" s="261" t="s">
        <v>1840</v>
      </c>
      <c r="J815" s="261" t="s">
        <v>98</v>
      </c>
      <c r="K815" s="277" t="s">
        <v>202</v>
      </c>
      <c r="L815" s="261" t="s">
        <v>155</v>
      </c>
      <c r="M815" s="257"/>
      <c r="N815" s="257"/>
      <c r="O815" s="257"/>
    </row>
    <row r="816" spans="1:15" hidden="1">
      <c r="A816" s="256">
        <v>45783</v>
      </c>
      <c r="B816" s="257" t="s">
        <v>1536</v>
      </c>
      <c r="C816" s="263" t="s">
        <v>177</v>
      </c>
      <c r="D816" s="258" t="s">
        <v>117</v>
      </c>
      <c r="E816" s="259">
        <v>75000</v>
      </c>
      <c r="F816" s="259">
        <v>128.66511147716813</v>
      </c>
      <c r="G816" s="269">
        <v>579.64599999999996</v>
      </c>
      <c r="H816" s="261" t="s">
        <v>190</v>
      </c>
      <c r="I816" s="261" t="s">
        <v>1843</v>
      </c>
      <c r="J816" s="261" t="s">
        <v>98</v>
      </c>
      <c r="K816" s="277" t="s">
        <v>202</v>
      </c>
      <c r="L816" s="261" t="s">
        <v>155</v>
      </c>
      <c r="M816" s="257"/>
      <c r="N816" s="257"/>
      <c r="O816" s="257"/>
    </row>
    <row r="817" spans="1:15" hidden="1">
      <c r="A817" s="256">
        <v>45783</v>
      </c>
      <c r="B817" s="257" t="s">
        <v>1579</v>
      </c>
      <c r="C817" s="257" t="s">
        <v>152</v>
      </c>
      <c r="D817" s="258" t="s">
        <v>117</v>
      </c>
      <c r="E817" s="259">
        <v>21000</v>
      </c>
      <c r="F817" s="259">
        <v>36.026231213607076</v>
      </c>
      <c r="G817" s="269">
        <v>579.64599999999996</v>
      </c>
      <c r="H817" s="261" t="s">
        <v>193</v>
      </c>
      <c r="I817" s="261" t="s">
        <v>1777</v>
      </c>
      <c r="J817" s="261" t="s">
        <v>98</v>
      </c>
      <c r="K817" s="277" t="s">
        <v>202</v>
      </c>
      <c r="L817" s="261" t="s">
        <v>155</v>
      </c>
      <c r="M817" s="257"/>
      <c r="N817" s="257"/>
      <c r="O817" s="257"/>
    </row>
    <row r="818" spans="1:15" hidden="1">
      <c r="A818" s="256">
        <v>45783</v>
      </c>
      <c r="B818" s="257" t="s">
        <v>1085</v>
      </c>
      <c r="C818" s="257" t="s">
        <v>196</v>
      </c>
      <c r="D818" s="258" t="s">
        <v>117</v>
      </c>
      <c r="E818" s="259">
        <v>10000</v>
      </c>
      <c r="F818" s="259">
        <v>17.15534819695575</v>
      </c>
      <c r="G818" s="269">
        <v>579.64599999999996</v>
      </c>
      <c r="H818" s="261" t="s">
        <v>437</v>
      </c>
      <c r="I818" s="261" t="s">
        <v>1795</v>
      </c>
      <c r="J818" s="261" t="s">
        <v>98</v>
      </c>
      <c r="K818" s="277" t="s">
        <v>202</v>
      </c>
      <c r="L818" s="261" t="s">
        <v>155</v>
      </c>
      <c r="M818" s="257"/>
      <c r="N818" s="257"/>
      <c r="O818" s="257"/>
    </row>
    <row r="819" spans="1:15" hidden="1">
      <c r="A819" s="256">
        <v>45783</v>
      </c>
      <c r="B819" s="257" t="s">
        <v>1848</v>
      </c>
      <c r="C819" s="257" t="s">
        <v>174</v>
      </c>
      <c r="D819" s="258" t="s">
        <v>117</v>
      </c>
      <c r="E819" s="259">
        <v>10000</v>
      </c>
      <c r="F819" s="259">
        <v>17.15534819695575</v>
      </c>
      <c r="G819" s="269">
        <v>579.64599999999996</v>
      </c>
      <c r="H819" s="261" t="s">
        <v>187</v>
      </c>
      <c r="I819" s="261" t="s">
        <v>1849</v>
      </c>
      <c r="J819" s="261" t="s">
        <v>98</v>
      </c>
      <c r="K819" s="277" t="s">
        <v>202</v>
      </c>
      <c r="L819" s="261" t="s">
        <v>155</v>
      </c>
      <c r="M819" s="257"/>
      <c r="N819" s="257"/>
      <c r="O819" s="257"/>
    </row>
    <row r="820" spans="1:15" hidden="1">
      <c r="A820" s="256">
        <v>45784</v>
      </c>
      <c r="B820" s="257" t="s">
        <v>1515</v>
      </c>
      <c r="C820" s="257" t="s">
        <v>304</v>
      </c>
      <c r="D820" s="257" t="s">
        <v>118</v>
      </c>
      <c r="E820" s="259">
        <v>260000</v>
      </c>
      <c r="F820" s="259">
        <v>446.03905312084947</v>
      </c>
      <c r="G820" s="269">
        <v>579.64599999999996</v>
      </c>
      <c r="H820" s="261" t="s">
        <v>148</v>
      </c>
      <c r="I820" s="261" t="s">
        <v>1875</v>
      </c>
      <c r="J820" s="261" t="s">
        <v>98</v>
      </c>
      <c r="K820" s="277" t="s">
        <v>202</v>
      </c>
      <c r="L820" s="261" t="s">
        <v>155</v>
      </c>
      <c r="M820" s="257"/>
      <c r="N820" s="257"/>
      <c r="O820" s="257"/>
    </row>
    <row r="821" spans="1:15" hidden="1">
      <c r="A821" s="256">
        <v>45784</v>
      </c>
      <c r="B821" s="257" t="s">
        <v>552</v>
      </c>
      <c r="C821" s="263" t="s">
        <v>1163</v>
      </c>
      <c r="D821" s="257" t="s">
        <v>118</v>
      </c>
      <c r="E821" s="259">
        <v>47400</v>
      </c>
      <c r="F821" s="259">
        <v>81.316350453570251</v>
      </c>
      <c r="G821" s="269">
        <v>579.64599999999996</v>
      </c>
      <c r="H821" s="261" t="s">
        <v>583</v>
      </c>
      <c r="I821" s="261" t="s">
        <v>1727</v>
      </c>
      <c r="J821" s="261" t="s">
        <v>98</v>
      </c>
      <c r="K821" s="277" t="s">
        <v>202</v>
      </c>
      <c r="L821" s="261" t="s">
        <v>155</v>
      </c>
      <c r="M821" s="257"/>
      <c r="N821" s="257"/>
      <c r="O821" s="257"/>
    </row>
    <row r="822" spans="1:15" hidden="1">
      <c r="A822" s="256">
        <v>45784</v>
      </c>
      <c r="B822" s="257" t="s">
        <v>1796</v>
      </c>
      <c r="C822" s="263" t="s">
        <v>177</v>
      </c>
      <c r="D822" s="258" t="s">
        <v>117</v>
      </c>
      <c r="E822" s="259">
        <v>30000</v>
      </c>
      <c r="F822" s="259">
        <v>51.466044590867249</v>
      </c>
      <c r="G822" s="269">
        <v>579.64599999999996</v>
      </c>
      <c r="H822" s="261" t="s">
        <v>437</v>
      </c>
      <c r="I822" s="261" t="s">
        <v>1797</v>
      </c>
      <c r="J822" s="261" t="s">
        <v>98</v>
      </c>
      <c r="K822" s="277" t="s">
        <v>202</v>
      </c>
      <c r="L822" s="261" t="s">
        <v>155</v>
      </c>
      <c r="M822" s="257"/>
      <c r="N822" s="257"/>
      <c r="O822" s="257"/>
    </row>
    <row r="823" spans="1:15" hidden="1">
      <c r="A823" s="256">
        <v>45784</v>
      </c>
      <c r="B823" s="257" t="s">
        <v>1850</v>
      </c>
      <c r="C823" s="263" t="s">
        <v>177</v>
      </c>
      <c r="D823" s="258" t="s">
        <v>117</v>
      </c>
      <c r="E823" s="259">
        <v>30000</v>
      </c>
      <c r="F823" s="259">
        <v>51.466044590867249</v>
      </c>
      <c r="G823" s="269">
        <v>579.64599999999996</v>
      </c>
      <c r="H823" s="261" t="s">
        <v>187</v>
      </c>
      <c r="I823" s="261" t="s">
        <v>1851</v>
      </c>
      <c r="J823" s="261" t="s">
        <v>98</v>
      </c>
      <c r="K823" s="277" t="s">
        <v>202</v>
      </c>
      <c r="L823" s="261" t="s">
        <v>155</v>
      </c>
      <c r="M823" s="257"/>
      <c r="N823" s="257"/>
      <c r="O823" s="257"/>
    </row>
    <row r="824" spans="1:15" hidden="1">
      <c r="A824" s="256">
        <v>45785</v>
      </c>
      <c r="B824" s="257" t="s">
        <v>3026</v>
      </c>
      <c r="C824" s="263" t="s">
        <v>177</v>
      </c>
      <c r="D824" s="258" t="s">
        <v>442</v>
      </c>
      <c r="E824" s="259">
        <v>30000</v>
      </c>
      <c r="F824" s="259">
        <v>51.466044590867249</v>
      </c>
      <c r="G824" s="269">
        <v>579.64599999999996</v>
      </c>
      <c r="H824" s="261" t="s">
        <v>184</v>
      </c>
      <c r="I824" s="262" t="s">
        <v>1607</v>
      </c>
      <c r="J824" s="261" t="s">
        <v>98</v>
      </c>
      <c r="K824" s="277" t="s">
        <v>202</v>
      </c>
      <c r="L824" s="261" t="s">
        <v>155</v>
      </c>
      <c r="M824" s="257"/>
      <c r="N824" s="257"/>
      <c r="O824" s="257"/>
    </row>
    <row r="825" spans="1:15" hidden="1">
      <c r="A825" s="256">
        <v>45785</v>
      </c>
      <c r="B825" s="257" t="s">
        <v>3076</v>
      </c>
      <c r="C825" s="257" t="s">
        <v>174</v>
      </c>
      <c r="D825" s="258" t="s">
        <v>442</v>
      </c>
      <c r="E825" s="259">
        <v>7000</v>
      </c>
      <c r="F825" s="259">
        <v>12.008743737869025</v>
      </c>
      <c r="G825" s="269">
        <v>579.64599999999996</v>
      </c>
      <c r="H825" s="261" t="s">
        <v>184</v>
      </c>
      <c r="I825" s="262" t="s">
        <v>1608</v>
      </c>
      <c r="J825" s="261" t="s">
        <v>98</v>
      </c>
      <c r="K825" s="277" t="s">
        <v>202</v>
      </c>
      <c r="L825" s="261" t="s">
        <v>155</v>
      </c>
      <c r="M825" s="257"/>
      <c r="N825" s="257"/>
      <c r="O825" s="257"/>
    </row>
    <row r="826" spans="1:15" hidden="1">
      <c r="A826" s="256">
        <v>45785</v>
      </c>
      <c r="B826" s="257" t="s">
        <v>3082</v>
      </c>
      <c r="C826" s="263" t="s">
        <v>177</v>
      </c>
      <c r="D826" s="258" t="s">
        <v>442</v>
      </c>
      <c r="E826" s="259">
        <v>30000</v>
      </c>
      <c r="F826" s="259">
        <v>51.466044590867249</v>
      </c>
      <c r="G826" s="269">
        <v>579.64599999999996</v>
      </c>
      <c r="H826" s="261" t="s">
        <v>175</v>
      </c>
      <c r="I826" s="261" t="s">
        <v>1637</v>
      </c>
      <c r="J826" s="261" t="s">
        <v>98</v>
      </c>
      <c r="K826" s="277" t="s">
        <v>202</v>
      </c>
      <c r="L826" s="261" t="s">
        <v>155</v>
      </c>
      <c r="M826" s="257"/>
      <c r="N826" s="257"/>
      <c r="O826" s="257"/>
    </row>
    <row r="827" spans="1:15" hidden="1">
      <c r="A827" s="256">
        <v>45785</v>
      </c>
      <c r="B827" s="257" t="s">
        <v>3227</v>
      </c>
      <c r="C827" s="257" t="s">
        <v>174</v>
      </c>
      <c r="D827" s="258" t="s">
        <v>442</v>
      </c>
      <c r="E827" s="259">
        <v>7000</v>
      </c>
      <c r="F827" s="259">
        <v>12.008743737869025</v>
      </c>
      <c r="G827" s="269">
        <v>579.64599999999996</v>
      </c>
      <c r="H827" s="261" t="s">
        <v>175</v>
      </c>
      <c r="I827" s="261" t="s">
        <v>1638</v>
      </c>
      <c r="J827" s="261" t="s">
        <v>98</v>
      </c>
      <c r="K827" s="277" t="s">
        <v>202</v>
      </c>
      <c r="L827" s="261" t="s">
        <v>155</v>
      </c>
      <c r="M827" s="257"/>
      <c r="N827" s="257"/>
      <c r="O827" s="257"/>
    </row>
    <row r="828" spans="1:15" hidden="1">
      <c r="A828" s="256">
        <v>45785</v>
      </c>
      <c r="B828" s="257" t="s">
        <v>3219</v>
      </c>
      <c r="C828" s="263" t="s">
        <v>177</v>
      </c>
      <c r="D828" s="258" t="s">
        <v>442</v>
      </c>
      <c r="E828" s="259">
        <v>30000</v>
      </c>
      <c r="F828" s="259">
        <v>51.466044590867249</v>
      </c>
      <c r="G828" s="269">
        <v>579.64599999999996</v>
      </c>
      <c r="H828" s="261" t="s">
        <v>323</v>
      </c>
      <c r="I828" s="261" t="s">
        <v>1663</v>
      </c>
      <c r="J828" s="261" t="s">
        <v>98</v>
      </c>
      <c r="K828" s="277" t="s">
        <v>202</v>
      </c>
      <c r="L828" s="261" t="s">
        <v>155</v>
      </c>
      <c r="M828" s="257"/>
      <c r="N828" s="257"/>
      <c r="O828" s="257"/>
    </row>
    <row r="829" spans="1:15" hidden="1">
      <c r="A829" s="256">
        <v>45785</v>
      </c>
      <c r="B829" s="257" t="s">
        <v>3199</v>
      </c>
      <c r="C829" s="257" t="s">
        <v>174</v>
      </c>
      <c r="D829" s="258" t="s">
        <v>442</v>
      </c>
      <c r="E829" s="259">
        <v>10000</v>
      </c>
      <c r="F829" s="259">
        <v>17.15534819695575</v>
      </c>
      <c r="G829" s="269">
        <v>579.64599999999996</v>
      </c>
      <c r="H829" s="261" t="s">
        <v>323</v>
      </c>
      <c r="I829" s="261" t="s">
        <v>1664</v>
      </c>
      <c r="J829" s="261" t="s">
        <v>98</v>
      </c>
      <c r="K829" s="277" t="s">
        <v>202</v>
      </c>
      <c r="L829" s="261" t="s">
        <v>155</v>
      </c>
      <c r="M829" s="257"/>
      <c r="N829" s="257"/>
      <c r="O829" s="257"/>
    </row>
    <row r="830" spans="1:15" hidden="1">
      <c r="A830" s="256">
        <v>45785</v>
      </c>
      <c r="B830" s="257" t="s">
        <v>3228</v>
      </c>
      <c r="C830" s="257" t="s">
        <v>174</v>
      </c>
      <c r="D830" s="258" t="s">
        <v>442</v>
      </c>
      <c r="E830" s="259">
        <v>4000</v>
      </c>
      <c r="F830" s="259">
        <v>6.8621392787823003</v>
      </c>
      <c r="G830" s="269">
        <v>579.64599999999996</v>
      </c>
      <c r="H830" s="261" t="s">
        <v>323</v>
      </c>
      <c r="I830" s="261" t="s">
        <v>1665</v>
      </c>
      <c r="J830" s="261" t="s">
        <v>98</v>
      </c>
      <c r="K830" s="277" t="s">
        <v>202</v>
      </c>
      <c r="L830" s="261" t="s">
        <v>155</v>
      </c>
      <c r="M830" s="257"/>
      <c r="N830" s="257"/>
      <c r="O830" s="257"/>
    </row>
    <row r="831" spans="1:15" hidden="1">
      <c r="A831" s="256">
        <v>45786</v>
      </c>
      <c r="B831" s="257" t="s">
        <v>1468</v>
      </c>
      <c r="C831" s="257" t="s">
        <v>123</v>
      </c>
      <c r="D831" s="258" t="s">
        <v>117</v>
      </c>
      <c r="E831" s="259">
        <v>150000</v>
      </c>
      <c r="F831" s="259">
        <v>257.33022295433625</v>
      </c>
      <c r="G831" s="269">
        <v>579.64599999999996</v>
      </c>
      <c r="H831" s="261" t="s">
        <v>148</v>
      </c>
      <c r="I831" s="261" t="s">
        <v>1876</v>
      </c>
      <c r="J831" s="261" t="s">
        <v>98</v>
      </c>
      <c r="K831" s="277" t="s">
        <v>202</v>
      </c>
      <c r="L831" s="261" t="s">
        <v>155</v>
      </c>
      <c r="M831" s="257"/>
      <c r="N831" s="257"/>
      <c r="O831" s="257"/>
    </row>
    <row r="832" spans="1:15" hidden="1">
      <c r="A832" s="256">
        <v>45786</v>
      </c>
      <c r="B832" s="257" t="s">
        <v>3029</v>
      </c>
      <c r="C832" s="257" t="s">
        <v>174</v>
      </c>
      <c r="D832" s="258" t="s">
        <v>442</v>
      </c>
      <c r="E832" s="259">
        <v>10000</v>
      </c>
      <c r="F832" s="259">
        <v>17.15534819695575</v>
      </c>
      <c r="G832" s="269">
        <v>579.64599999999996</v>
      </c>
      <c r="H832" s="261" t="s">
        <v>184</v>
      </c>
      <c r="I832" s="262" t="s">
        <v>1609</v>
      </c>
      <c r="J832" s="261" t="s">
        <v>98</v>
      </c>
      <c r="K832" s="277" t="s">
        <v>202</v>
      </c>
      <c r="L832" s="261" t="s">
        <v>155</v>
      </c>
      <c r="M832" s="257"/>
      <c r="N832" s="257"/>
      <c r="O832" s="257"/>
    </row>
    <row r="833" spans="1:15" hidden="1">
      <c r="A833" s="256">
        <v>45786</v>
      </c>
      <c r="B833" s="257" t="s">
        <v>1537</v>
      </c>
      <c r="C833" s="264" t="s">
        <v>2086</v>
      </c>
      <c r="D833" s="257" t="s">
        <v>118</v>
      </c>
      <c r="E833" s="259">
        <v>3270</v>
      </c>
      <c r="F833" s="259">
        <v>5.6097988604045304</v>
      </c>
      <c r="G833" s="269">
        <v>579.64599999999996</v>
      </c>
      <c r="H833" s="261" t="s">
        <v>193</v>
      </c>
      <c r="I833" s="261" t="s">
        <v>1774</v>
      </c>
      <c r="J833" s="261" t="s">
        <v>98</v>
      </c>
      <c r="K833" s="277" t="s">
        <v>202</v>
      </c>
      <c r="L833" s="261" t="s">
        <v>155</v>
      </c>
      <c r="M833" s="257"/>
      <c r="N833" s="257"/>
      <c r="O833" s="257"/>
    </row>
    <row r="834" spans="1:15" hidden="1">
      <c r="A834" s="256">
        <v>45786</v>
      </c>
      <c r="B834" s="257" t="s">
        <v>1538</v>
      </c>
      <c r="C834" s="263" t="s">
        <v>126</v>
      </c>
      <c r="D834" s="257" t="s">
        <v>118</v>
      </c>
      <c r="E834" s="259">
        <v>68737</v>
      </c>
      <c r="F834" s="259">
        <v>117.92071690141474</v>
      </c>
      <c r="G834" s="269">
        <v>579.64599999999996</v>
      </c>
      <c r="H834" s="261" t="s">
        <v>193</v>
      </c>
      <c r="I834" s="261" t="s">
        <v>1775</v>
      </c>
      <c r="J834" s="261" t="s">
        <v>98</v>
      </c>
      <c r="K834" s="277" t="s">
        <v>202</v>
      </c>
      <c r="L834" s="261" t="s">
        <v>155</v>
      </c>
      <c r="M834" s="257"/>
      <c r="N834" s="257"/>
      <c r="O834" s="257"/>
    </row>
    <row r="835" spans="1:15" hidden="1">
      <c r="A835" s="256">
        <v>45786</v>
      </c>
      <c r="B835" s="257" t="s">
        <v>1798</v>
      </c>
      <c r="C835" s="257" t="s">
        <v>196</v>
      </c>
      <c r="D835" s="258" t="s">
        <v>117</v>
      </c>
      <c r="E835" s="259">
        <v>10000</v>
      </c>
      <c r="F835" s="259">
        <v>17.15534819695575</v>
      </c>
      <c r="G835" s="269">
        <v>579.64599999999996</v>
      </c>
      <c r="H835" s="261" t="s">
        <v>437</v>
      </c>
      <c r="I835" s="261" t="s">
        <v>1799</v>
      </c>
      <c r="J835" s="261" t="s">
        <v>98</v>
      </c>
      <c r="K835" s="277" t="s">
        <v>202</v>
      </c>
      <c r="L835" s="261" t="s">
        <v>155</v>
      </c>
      <c r="M835" s="257"/>
      <c r="N835" s="257"/>
      <c r="O835" s="257"/>
    </row>
    <row r="836" spans="1:15" hidden="1">
      <c r="A836" s="256">
        <v>45786</v>
      </c>
      <c r="B836" s="257" t="s">
        <v>1852</v>
      </c>
      <c r="C836" s="257" t="s">
        <v>1810</v>
      </c>
      <c r="D836" s="258" t="s">
        <v>117</v>
      </c>
      <c r="E836" s="259">
        <v>20000</v>
      </c>
      <c r="F836" s="259">
        <v>34.310696393911499</v>
      </c>
      <c r="G836" s="269">
        <v>579.64599999999996</v>
      </c>
      <c r="H836" s="261" t="s">
        <v>187</v>
      </c>
      <c r="I836" s="261" t="s">
        <v>1853</v>
      </c>
      <c r="J836" s="261" t="s">
        <v>98</v>
      </c>
      <c r="K836" s="277" t="s">
        <v>202</v>
      </c>
      <c r="L836" s="261" t="s">
        <v>155</v>
      </c>
      <c r="M836" s="257"/>
      <c r="N836" s="257"/>
      <c r="O836" s="257"/>
    </row>
    <row r="837" spans="1:15" hidden="1">
      <c r="A837" s="256">
        <v>45786</v>
      </c>
      <c r="B837" s="257" t="s">
        <v>1854</v>
      </c>
      <c r="C837" s="257" t="s">
        <v>174</v>
      </c>
      <c r="D837" s="258" t="s">
        <v>117</v>
      </c>
      <c r="E837" s="259">
        <v>10000</v>
      </c>
      <c r="F837" s="259">
        <v>17.15534819695575</v>
      </c>
      <c r="G837" s="269">
        <v>579.64599999999996</v>
      </c>
      <c r="H837" s="261" t="s">
        <v>187</v>
      </c>
      <c r="I837" s="261" t="s">
        <v>1855</v>
      </c>
      <c r="J837" s="261" t="s">
        <v>98</v>
      </c>
      <c r="K837" s="277" t="s">
        <v>202</v>
      </c>
      <c r="L837" s="261" t="s">
        <v>155</v>
      </c>
      <c r="M837" s="257"/>
      <c r="N837" s="257"/>
      <c r="O837" s="257"/>
    </row>
    <row r="838" spans="1:15" hidden="1">
      <c r="A838" s="256">
        <v>45787</v>
      </c>
      <c r="B838" s="257" t="s">
        <v>3027</v>
      </c>
      <c r="C838" s="263" t="s">
        <v>177</v>
      </c>
      <c r="D838" s="258" t="s">
        <v>442</v>
      </c>
      <c r="E838" s="259">
        <v>30000</v>
      </c>
      <c r="F838" s="259">
        <v>51.466044590867249</v>
      </c>
      <c r="G838" s="269">
        <v>579.64599999999996</v>
      </c>
      <c r="H838" s="261" t="s">
        <v>184</v>
      </c>
      <c r="I838" s="262" t="s">
        <v>1610</v>
      </c>
      <c r="J838" s="261" t="s">
        <v>98</v>
      </c>
      <c r="K838" s="277" t="s">
        <v>202</v>
      </c>
      <c r="L838" s="261" t="s">
        <v>155</v>
      </c>
      <c r="M838" s="257"/>
      <c r="N838" s="257"/>
      <c r="O838" s="257"/>
    </row>
    <row r="839" spans="1:15" hidden="1">
      <c r="A839" s="256">
        <v>45787</v>
      </c>
      <c r="B839" s="257" t="s">
        <v>2992</v>
      </c>
      <c r="C839" s="263" t="s">
        <v>177</v>
      </c>
      <c r="D839" s="258" t="s">
        <v>442</v>
      </c>
      <c r="E839" s="259">
        <v>30000</v>
      </c>
      <c r="F839" s="259">
        <v>51.466044590867249</v>
      </c>
      <c r="G839" s="269">
        <v>579.64599999999996</v>
      </c>
      <c r="H839" s="261" t="s">
        <v>175</v>
      </c>
      <c r="I839" s="261" t="s">
        <v>1639</v>
      </c>
      <c r="J839" s="261" t="s">
        <v>98</v>
      </c>
      <c r="K839" s="277" t="s">
        <v>202</v>
      </c>
      <c r="L839" s="261" t="s">
        <v>155</v>
      </c>
      <c r="M839" s="257"/>
      <c r="N839" s="257"/>
      <c r="O839" s="257"/>
    </row>
    <row r="840" spans="1:15" hidden="1">
      <c r="A840" s="256">
        <v>45787</v>
      </c>
      <c r="B840" s="257" t="s">
        <v>3229</v>
      </c>
      <c r="C840" s="257" t="s">
        <v>174</v>
      </c>
      <c r="D840" s="258" t="s">
        <v>442</v>
      </c>
      <c r="E840" s="259">
        <v>12000</v>
      </c>
      <c r="F840" s="259">
        <v>20.5864178363469</v>
      </c>
      <c r="G840" s="269">
        <v>579.64599999999996</v>
      </c>
      <c r="H840" s="261" t="s">
        <v>175</v>
      </c>
      <c r="I840" s="261" t="s">
        <v>1640</v>
      </c>
      <c r="J840" s="261" t="s">
        <v>98</v>
      </c>
      <c r="K840" s="277" t="s">
        <v>202</v>
      </c>
      <c r="L840" s="261" t="s">
        <v>155</v>
      </c>
      <c r="M840" s="257"/>
      <c r="N840" s="257"/>
      <c r="O840" s="257"/>
    </row>
    <row r="841" spans="1:15" hidden="1">
      <c r="A841" s="256">
        <v>45787</v>
      </c>
      <c r="B841" s="257" t="s">
        <v>3221</v>
      </c>
      <c r="C841" s="263" t="s">
        <v>177</v>
      </c>
      <c r="D841" s="258" t="s">
        <v>442</v>
      </c>
      <c r="E841" s="259">
        <v>30000</v>
      </c>
      <c r="F841" s="259">
        <v>51.466044590867249</v>
      </c>
      <c r="G841" s="269">
        <v>579.64599999999996</v>
      </c>
      <c r="H841" s="261" t="s">
        <v>323</v>
      </c>
      <c r="I841" s="261" t="s">
        <v>1666</v>
      </c>
      <c r="J841" s="261" t="s">
        <v>98</v>
      </c>
      <c r="K841" s="277" t="s">
        <v>202</v>
      </c>
      <c r="L841" s="261" t="s">
        <v>155</v>
      </c>
      <c r="M841" s="257"/>
      <c r="N841" s="257"/>
      <c r="O841" s="257"/>
    </row>
    <row r="842" spans="1:15" hidden="1">
      <c r="A842" s="256">
        <v>45787</v>
      </c>
      <c r="B842" s="257" t="s">
        <v>3175</v>
      </c>
      <c r="C842" s="257" t="s">
        <v>174</v>
      </c>
      <c r="D842" s="258" t="s">
        <v>442</v>
      </c>
      <c r="E842" s="259">
        <v>7000</v>
      </c>
      <c r="F842" s="259">
        <v>12.008743737869025</v>
      </c>
      <c r="G842" s="269">
        <v>579.64599999999996</v>
      </c>
      <c r="H842" s="261" t="s">
        <v>323</v>
      </c>
      <c r="I842" s="261" t="s">
        <v>1667</v>
      </c>
      <c r="J842" s="261" t="s">
        <v>98</v>
      </c>
      <c r="K842" s="277" t="s">
        <v>202</v>
      </c>
      <c r="L842" s="261" t="s">
        <v>155</v>
      </c>
      <c r="M842" s="257"/>
      <c r="N842" s="257"/>
      <c r="O842" s="257"/>
    </row>
    <row r="843" spans="1:15" hidden="1">
      <c r="A843" s="256">
        <v>45787</v>
      </c>
      <c r="B843" s="257" t="s">
        <v>1800</v>
      </c>
      <c r="C843" s="263" t="s">
        <v>177</v>
      </c>
      <c r="D843" s="258" t="s">
        <v>117</v>
      </c>
      <c r="E843" s="259">
        <v>45000</v>
      </c>
      <c r="F843" s="259">
        <v>77.199066886300869</v>
      </c>
      <c r="G843" s="269">
        <v>579.64599999999996</v>
      </c>
      <c r="H843" s="261" t="s">
        <v>437</v>
      </c>
      <c r="I843" s="261" t="s">
        <v>1801</v>
      </c>
      <c r="J843" s="261" t="s">
        <v>98</v>
      </c>
      <c r="K843" s="277" t="s">
        <v>202</v>
      </c>
      <c r="L843" s="261" t="s">
        <v>155</v>
      </c>
      <c r="M843" s="257"/>
      <c r="N843" s="257"/>
      <c r="O843" s="257"/>
    </row>
    <row r="844" spans="1:15" hidden="1">
      <c r="A844" s="256">
        <v>45787</v>
      </c>
      <c r="B844" s="257" t="s">
        <v>1856</v>
      </c>
      <c r="C844" s="263" t="s">
        <v>177</v>
      </c>
      <c r="D844" s="258" t="s">
        <v>117</v>
      </c>
      <c r="E844" s="259">
        <v>45000</v>
      </c>
      <c r="F844" s="259">
        <v>77.199066886300869</v>
      </c>
      <c r="G844" s="269">
        <v>579.64599999999996</v>
      </c>
      <c r="H844" s="261" t="s">
        <v>187</v>
      </c>
      <c r="I844" s="261" t="s">
        <v>1857</v>
      </c>
      <c r="J844" s="261" t="s">
        <v>98</v>
      </c>
      <c r="K844" s="277" t="s">
        <v>202</v>
      </c>
      <c r="L844" s="261" t="s">
        <v>155</v>
      </c>
      <c r="M844" s="257"/>
      <c r="N844" s="257"/>
      <c r="O844" s="257"/>
    </row>
    <row r="845" spans="1:15" hidden="1">
      <c r="A845" s="256">
        <v>45789</v>
      </c>
      <c r="B845" s="257" t="s">
        <v>1539</v>
      </c>
      <c r="C845" s="257" t="s">
        <v>304</v>
      </c>
      <c r="D845" s="257" t="s">
        <v>118</v>
      </c>
      <c r="E845" s="259">
        <v>25000</v>
      </c>
      <c r="F845" s="259">
        <v>42.888370492389377</v>
      </c>
      <c r="G845" s="269">
        <v>579.64599999999996</v>
      </c>
      <c r="H845" s="261" t="s">
        <v>153</v>
      </c>
      <c r="I845" s="280" t="s">
        <v>1899</v>
      </c>
      <c r="J845" s="261" t="s">
        <v>98</v>
      </c>
      <c r="K845" s="277" t="s">
        <v>202</v>
      </c>
      <c r="L845" s="261" t="s">
        <v>155</v>
      </c>
      <c r="M845" s="257"/>
      <c r="N845" s="257"/>
      <c r="O845" s="257"/>
    </row>
    <row r="846" spans="1:15" hidden="1">
      <c r="A846" s="256">
        <v>45789</v>
      </c>
      <c r="B846" s="257" t="s">
        <v>550</v>
      </c>
      <c r="C846" s="263" t="s">
        <v>1163</v>
      </c>
      <c r="D846" s="257" t="s">
        <v>118</v>
      </c>
      <c r="E846" s="259">
        <v>25000</v>
      </c>
      <c r="F846" s="259">
        <v>42.888370492389377</v>
      </c>
      <c r="G846" s="269">
        <v>579.64599999999996</v>
      </c>
      <c r="H846" s="261" t="s">
        <v>190</v>
      </c>
      <c r="I846" s="261" t="s">
        <v>1747</v>
      </c>
      <c r="J846" s="261" t="s">
        <v>98</v>
      </c>
      <c r="K846" s="277" t="s">
        <v>202</v>
      </c>
      <c r="L846" s="261" t="s">
        <v>155</v>
      </c>
      <c r="M846" s="257"/>
      <c r="N846" s="257"/>
      <c r="O846" s="257"/>
    </row>
    <row r="847" spans="1:15" hidden="1">
      <c r="A847" s="256">
        <v>45791</v>
      </c>
      <c r="B847" s="257" t="s">
        <v>1528</v>
      </c>
      <c r="C847" s="257" t="s">
        <v>123</v>
      </c>
      <c r="D847" s="258" t="s">
        <v>117</v>
      </c>
      <c r="E847" s="259">
        <v>500000</v>
      </c>
      <c r="F847" s="259">
        <v>857.76740984778746</v>
      </c>
      <c r="G847" s="269">
        <v>579.64599999999996</v>
      </c>
      <c r="H847" s="261" t="s">
        <v>148</v>
      </c>
      <c r="I847" s="261" t="s">
        <v>1877</v>
      </c>
      <c r="J847" s="261" t="s">
        <v>98</v>
      </c>
      <c r="K847" s="277" t="s">
        <v>202</v>
      </c>
      <c r="L847" s="261" t="s">
        <v>155</v>
      </c>
      <c r="M847" s="257"/>
      <c r="N847" s="257"/>
      <c r="O847" s="257"/>
    </row>
    <row r="848" spans="1:15" hidden="1">
      <c r="A848" s="256">
        <v>45792</v>
      </c>
      <c r="B848" s="257" t="s">
        <v>3029</v>
      </c>
      <c r="C848" s="257" t="s">
        <v>174</v>
      </c>
      <c r="D848" s="258" t="s">
        <v>442</v>
      </c>
      <c r="E848" s="259">
        <v>33000</v>
      </c>
      <c r="F848" s="259">
        <v>56.612649049953973</v>
      </c>
      <c r="G848" s="269">
        <v>579.64599999999996</v>
      </c>
      <c r="H848" s="261" t="s">
        <v>184</v>
      </c>
      <c r="I848" s="262" t="s">
        <v>1611</v>
      </c>
      <c r="J848" s="261" t="s">
        <v>98</v>
      </c>
      <c r="K848" s="277" t="s">
        <v>202</v>
      </c>
      <c r="L848" s="261" t="s">
        <v>155</v>
      </c>
      <c r="M848" s="257"/>
      <c r="N848" s="257"/>
      <c r="O848" s="257"/>
    </row>
    <row r="849" spans="1:15" hidden="1">
      <c r="A849" s="256">
        <v>45792</v>
      </c>
      <c r="B849" s="257" t="s">
        <v>2990</v>
      </c>
      <c r="C849" s="257" t="s">
        <v>174</v>
      </c>
      <c r="D849" s="258" t="s">
        <v>442</v>
      </c>
      <c r="E849" s="259">
        <v>33000</v>
      </c>
      <c r="F849" s="259">
        <v>56.612649049953973</v>
      </c>
      <c r="G849" s="269">
        <v>579.64599999999996</v>
      </c>
      <c r="H849" s="261" t="s">
        <v>175</v>
      </c>
      <c r="I849" s="261" t="s">
        <v>1641</v>
      </c>
      <c r="J849" s="261" t="s">
        <v>98</v>
      </c>
      <c r="K849" s="277" t="s">
        <v>202</v>
      </c>
      <c r="L849" s="261" t="s">
        <v>155</v>
      </c>
      <c r="M849" s="257"/>
      <c r="N849" s="257"/>
      <c r="O849" s="257"/>
    </row>
    <row r="850" spans="1:15" hidden="1">
      <c r="A850" s="256">
        <v>45792</v>
      </c>
      <c r="B850" s="257" t="s">
        <v>3199</v>
      </c>
      <c r="C850" s="257" t="s">
        <v>174</v>
      </c>
      <c r="D850" s="258" t="s">
        <v>442</v>
      </c>
      <c r="E850" s="259">
        <v>10000</v>
      </c>
      <c r="F850" s="259">
        <v>17.15534819695575</v>
      </c>
      <c r="G850" s="269">
        <v>579.64599999999996</v>
      </c>
      <c r="H850" s="261" t="s">
        <v>323</v>
      </c>
      <c r="I850" s="261" t="s">
        <v>1668</v>
      </c>
      <c r="J850" s="261" t="s">
        <v>98</v>
      </c>
      <c r="K850" s="277" t="s">
        <v>202</v>
      </c>
      <c r="L850" s="261" t="s">
        <v>155</v>
      </c>
      <c r="M850" s="257"/>
      <c r="N850" s="257"/>
      <c r="O850" s="257"/>
    </row>
    <row r="851" spans="1:15" hidden="1">
      <c r="A851" s="256">
        <v>45792</v>
      </c>
      <c r="B851" s="257" t="s">
        <v>1697</v>
      </c>
      <c r="C851" s="257" t="s">
        <v>174</v>
      </c>
      <c r="D851" s="258" t="s">
        <v>117</v>
      </c>
      <c r="E851" s="259">
        <v>33000</v>
      </c>
      <c r="F851" s="259">
        <v>56.612649049953973</v>
      </c>
      <c r="G851" s="269">
        <v>579.64599999999996</v>
      </c>
      <c r="H851" s="261" t="s">
        <v>200</v>
      </c>
      <c r="I851" s="262" t="s">
        <v>1698</v>
      </c>
      <c r="J851" s="261" t="s">
        <v>98</v>
      </c>
      <c r="K851" s="277" t="s">
        <v>202</v>
      </c>
      <c r="L851" s="261" t="s">
        <v>155</v>
      </c>
      <c r="M851" s="257"/>
      <c r="N851" s="257"/>
      <c r="O851" s="257"/>
    </row>
    <row r="852" spans="1:15" hidden="1">
      <c r="A852" s="256">
        <v>45792</v>
      </c>
      <c r="B852" s="257" t="s">
        <v>1802</v>
      </c>
      <c r="C852" s="257" t="s">
        <v>196</v>
      </c>
      <c r="D852" s="258" t="s">
        <v>117</v>
      </c>
      <c r="E852" s="259">
        <v>33000</v>
      </c>
      <c r="F852" s="259">
        <v>56.612649049953973</v>
      </c>
      <c r="G852" s="269">
        <v>579.64599999999996</v>
      </c>
      <c r="H852" s="261" t="s">
        <v>437</v>
      </c>
      <c r="I852" s="261" t="s">
        <v>1803</v>
      </c>
      <c r="J852" s="261" t="s">
        <v>98</v>
      </c>
      <c r="K852" s="277" t="s">
        <v>202</v>
      </c>
      <c r="L852" s="261" t="s">
        <v>155</v>
      </c>
      <c r="M852" s="257"/>
      <c r="N852" s="257"/>
      <c r="O852" s="257"/>
    </row>
    <row r="853" spans="1:15" hidden="1">
      <c r="A853" s="286">
        <v>45792</v>
      </c>
      <c r="B853" s="257" t="s">
        <v>1526</v>
      </c>
      <c r="C853" s="257" t="s">
        <v>125</v>
      </c>
      <c r="D853" s="257"/>
      <c r="E853" s="257"/>
      <c r="F853" s="295"/>
      <c r="G853" s="289">
        <f>+M853/N853</f>
        <v>560.94248000000005</v>
      </c>
      <c r="H853" s="257" t="s">
        <v>148</v>
      </c>
      <c r="I853" s="257" t="s">
        <v>1878</v>
      </c>
      <c r="J853" s="296" t="s">
        <v>98</v>
      </c>
      <c r="K853" s="297" t="s">
        <v>1902</v>
      </c>
      <c r="L853" s="296" t="s">
        <v>155</v>
      </c>
      <c r="M853" s="257">
        <v>14023562</v>
      </c>
      <c r="N853" s="257">
        <v>25000</v>
      </c>
      <c r="O853" s="257"/>
    </row>
    <row r="854" spans="1:15" hidden="1">
      <c r="A854" s="256">
        <v>45792</v>
      </c>
      <c r="B854" s="257" t="s">
        <v>1573</v>
      </c>
      <c r="C854" s="257" t="s">
        <v>152</v>
      </c>
      <c r="D854" s="258" t="s">
        <v>117</v>
      </c>
      <c r="E854" s="259">
        <v>10000</v>
      </c>
      <c r="F854" s="259">
        <v>17.15534819695575</v>
      </c>
      <c r="G854" s="269">
        <v>579.64599999999996</v>
      </c>
      <c r="H854" s="261" t="s">
        <v>153</v>
      </c>
      <c r="I854" s="280" t="s">
        <v>1689</v>
      </c>
      <c r="J854" s="261" t="s">
        <v>98</v>
      </c>
      <c r="K854" s="277" t="s">
        <v>202</v>
      </c>
      <c r="L854" s="261" t="s">
        <v>155</v>
      </c>
      <c r="M854" s="257"/>
      <c r="N854" s="257"/>
      <c r="O854" s="257"/>
    </row>
    <row r="855" spans="1:15" hidden="1">
      <c r="A855" s="256">
        <v>45792</v>
      </c>
      <c r="B855" s="257" t="s">
        <v>1699</v>
      </c>
      <c r="C855" s="263" t="s">
        <v>177</v>
      </c>
      <c r="D855" s="258" t="s">
        <v>117</v>
      </c>
      <c r="E855" s="259">
        <v>200000</v>
      </c>
      <c r="F855" s="259">
        <v>343.10696393911502</v>
      </c>
      <c r="G855" s="269">
        <v>579.64599999999996</v>
      </c>
      <c r="H855" s="261" t="s">
        <v>200</v>
      </c>
      <c r="I855" s="262" t="s">
        <v>1700</v>
      </c>
      <c r="J855" s="261" t="s">
        <v>98</v>
      </c>
      <c r="K855" s="277" t="s">
        <v>202</v>
      </c>
      <c r="L855" s="261" t="s">
        <v>155</v>
      </c>
      <c r="M855" s="257"/>
      <c r="N855" s="257"/>
      <c r="O855" s="257"/>
    </row>
    <row r="856" spans="1:15" hidden="1">
      <c r="A856" s="256">
        <v>45792</v>
      </c>
      <c r="B856" s="257" t="s">
        <v>1570</v>
      </c>
      <c r="C856" s="257" t="s">
        <v>152</v>
      </c>
      <c r="D856" s="258" t="s">
        <v>117</v>
      </c>
      <c r="E856" s="259">
        <v>5000</v>
      </c>
      <c r="F856" s="259">
        <v>8.5776740984778748</v>
      </c>
      <c r="G856" s="269">
        <v>579.64599999999996</v>
      </c>
      <c r="H856" s="261" t="s">
        <v>200</v>
      </c>
      <c r="I856" s="262" t="s">
        <v>1701</v>
      </c>
      <c r="J856" s="261" t="s">
        <v>98</v>
      </c>
      <c r="K856" s="277" t="s">
        <v>202</v>
      </c>
      <c r="L856" s="261" t="s">
        <v>155</v>
      </c>
      <c r="M856" s="257"/>
      <c r="N856" s="257"/>
      <c r="O856" s="257"/>
    </row>
    <row r="857" spans="1:15" hidden="1">
      <c r="A857" s="256">
        <v>45792</v>
      </c>
      <c r="B857" s="257" t="s">
        <v>1571</v>
      </c>
      <c r="C857" s="257" t="s">
        <v>152</v>
      </c>
      <c r="D857" s="258" t="s">
        <v>117</v>
      </c>
      <c r="E857" s="259">
        <v>5000</v>
      </c>
      <c r="F857" s="259">
        <v>8.5776740984778748</v>
      </c>
      <c r="G857" s="269">
        <v>579.64599999999996</v>
      </c>
      <c r="H857" s="261" t="s">
        <v>200</v>
      </c>
      <c r="I857" s="262" t="s">
        <v>1702</v>
      </c>
      <c r="J857" s="261" t="s">
        <v>98</v>
      </c>
      <c r="K857" s="277" t="s">
        <v>202</v>
      </c>
      <c r="L857" s="261" t="s">
        <v>155</v>
      </c>
      <c r="M857" s="257"/>
      <c r="N857" s="257"/>
      <c r="O857" s="257"/>
    </row>
    <row r="858" spans="1:15" hidden="1">
      <c r="A858" s="256">
        <v>45792</v>
      </c>
      <c r="B858" s="257" t="s">
        <v>1574</v>
      </c>
      <c r="C858" s="257" t="s">
        <v>152</v>
      </c>
      <c r="D858" s="258" t="s">
        <v>117</v>
      </c>
      <c r="E858" s="259">
        <v>10000</v>
      </c>
      <c r="F858" s="259">
        <v>17.15534819695575</v>
      </c>
      <c r="G858" s="269">
        <v>579.64599999999996</v>
      </c>
      <c r="H858" s="261" t="s">
        <v>583</v>
      </c>
      <c r="I858" s="261" t="s">
        <v>1741</v>
      </c>
      <c r="J858" s="261" t="s">
        <v>98</v>
      </c>
      <c r="K858" s="277" t="s">
        <v>202</v>
      </c>
      <c r="L858" s="261" t="s">
        <v>155</v>
      </c>
      <c r="M858" s="257"/>
      <c r="N858" s="257"/>
      <c r="O858" s="257"/>
    </row>
    <row r="859" spans="1:15" hidden="1">
      <c r="A859" s="256">
        <v>45792</v>
      </c>
      <c r="B859" s="257" t="s">
        <v>3025</v>
      </c>
      <c r="C859" s="263" t="s">
        <v>177</v>
      </c>
      <c r="D859" s="258" t="s">
        <v>442</v>
      </c>
      <c r="E859" s="259">
        <v>210000</v>
      </c>
      <c r="F859" s="259">
        <v>360.26231213607076</v>
      </c>
      <c r="G859" s="269">
        <v>579.64599999999996</v>
      </c>
      <c r="H859" s="261" t="s">
        <v>184</v>
      </c>
      <c r="I859" s="262" t="s">
        <v>1612</v>
      </c>
      <c r="J859" s="261" t="s">
        <v>98</v>
      </c>
      <c r="K859" s="277" t="s">
        <v>202</v>
      </c>
      <c r="L859" s="261" t="s">
        <v>155</v>
      </c>
      <c r="M859" s="257"/>
      <c r="N859" s="257"/>
      <c r="O859" s="257"/>
    </row>
    <row r="860" spans="1:15" hidden="1">
      <c r="A860" s="256">
        <v>45792</v>
      </c>
      <c r="B860" s="257" t="s">
        <v>1569</v>
      </c>
      <c r="C860" s="257" t="s">
        <v>152</v>
      </c>
      <c r="D860" s="258" t="s">
        <v>442</v>
      </c>
      <c r="E860" s="259">
        <v>10000</v>
      </c>
      <c r="F860" s="259">
        <v>17.15534819695575</v>
      </c>
      <c r="G860" s="269">
        <v>579.64599999999996</v>
      </c>
      <c r="H860" s="261" t="s">
        <v>184</v>
      </c>
      <c r="I860" s="262" t="s">
        <v>1629</v>
      </c>
      <c r="J860" s="261" t="s">
        <v>98</v>
      </c>
      <c r="K860" s="277" t="s">
        <v>202</v>
      </c>
      <c r="L860" s="261" t="s">
        <v>155</v>
      </c>
      <c r="M860" s="257"/>
      <c r="N860" s="257"/>
      <c r="O860" s="257"/>
    </row>
    <row r="861" spans="1:15" hidden="1">
      <c r="A861" s="256">
        <v>45792</v>
      </c>
      <c r="B861" s="257" t="s">
        <v>1572</v>
      </c>
      <c r="C861" s="257" t="s">
        <v>152</v>
      </c>
      <c r="D861" s="258" t="s">
        <v>442</v>
      </c>
      <c r="E861" s="259">
        <v>5000</v>
      </c>
      <c r="F861" s="259">
        <v>8.5776740984778748</v>
      </c>
      <c r="G861" s="269">
        <v>579.64599999999996</v>
      </c>
      <c r="H861" s="261" t="s">
        <v>184</v>
      </c>
      <c r="I861" s="262" t="s">
        <v>1630</v>
      </c>
      <c r="J861" s="261" t="s">
        <v>98</v>
      </c>
      <c r="K861" s="277" t="s">
        <v>202</v>
      </c>
      <c r="L861" s="261" t="s">
        <v>155</v>
      </c>
      <c r="M861" s="257"/>
      <c r="N861" s="257"/>
      <c r="O861" s="257"/>
    </row>
    <row r="862" spans="1:15" hidden="1">
      <c r="A862" s="256">
        <v>45792</v>
      </c>
      <c r="B862" s="257" t="s">
        <v>3230</v>
      </c>
      <c r="C862" s="263" t="s">
        <v>177</v>
      </c>
      <c r="D862" s="258" t="s">
        <v>442</v>
      </c>
      <c r="E862" s="259">
        <v>210000</v>
      </c>
      <c r="F862" s="259">
        <v>360.26231213607076</v>
      </c>
      <c r="G862" s="269">
        <v>579.64599999999996</v>
      </c>
      <c r="H862" s="261" t="s">
        <v>175</v>
      </c>
      <c r="I862" s="261" t="s">
        <v>1642</v>
      </c>
      <c r="J862" s="261" t="s">
        <v>98</v>
      </c>
      <c r="K862" s="277" t="s">
        <v>202</v>
      </c>
      <c r="L862" s="261" t="s">
        <v>155</v>
      </c>
      <c r="M862" s="257"/>
      <c r="N862" s="257"/>
      <c r="O862" s="257"/>
    </row>
    <row r="863" spans="1:15" hidden="1">
      <c r="A863" s="256">
        <v>45792</v>
      </c>
      <c r="B863" s="257" t="s">
        <v>2992</v>
      </c>
      <c r="C863" s="263" t="s">
        <v>177</v>
      </c>
      <c r="D863" s="258" t="s">
        <v>442</v>
      </c>
      <c r="E863" s="259">
        <v>15000</v>
      </c>
      <c r="F863" s="259">
        <v>25.733022295433624</v>
      </c>
      <c r="G863" s="269">
        <v>579.64599999999996</v>
      </c>
      <c r="H863" s="261" t="s">
        <v>175</v>
      </c>
      <c r="I863" s="261" t="s">
        <v>1643</v>
      </c>
      <c r="J863" s="261" t="s">
        <v>98</v>
      </c>
      <c r="K863" s="277" t="s">
        <v>202</v>
      </c>
      <c r="L863" s="261" t="s">
        <v>155</v>
      </c>
      <c r="M863" s="257"/>
      <c r="N863" s="257"/>
      <c r="O863" s="257"/>
    </row>
    <row r="864" spans="1:15" hidden="1">
      <c r="A864" s="256">
        <v>45792</v>
      </c>
      <c r="B864" s="257" t="s">
        <v>1569</v>
      </c>
      <c r="C864" s="257" t="s">
        <v>152</v>
      </c>
      <c r="D864" s="258" t="s">
        <v>442</v>
      </c>
      <c r="E864" s="259">
        <v>15000</v>
      </c>
      <c r="F864" s="259">
        <v>25.733022295433624</v>
      </c>
      <c r="G864" s="269">
        <v>579.64599999999996</v>
      </c>
      <c r="H864" s="261" t="s">
        <v>175</v>
      </c>
      <c r="I864" s="261" t="s">
        <v>1656</v>
      </c>
      <c r="J864" s="261" t="s">
        <v>98</v>
      </c>
      <c r="K864" s="277" t="s">
        <v>202</v>
      </c>
      <c r="L864" s="261" t="s">
        <v>155</v>
      </c>
      <c r="M864" s="257"/>
      <c r="N864" s="257"/>
      <c r="O864" s="257"/>
    </row>
    <row r="865" spans="1:15" hidden="1">
      <c r="A865" s="256">
        <v>45792</v>
      </c>
      <c r="B865" s="257" t="s">
        <v>3231</v>
      </c>
      <c r="C865" s="263" t="s">
        <v>177</v>
      </c>
      <c r="D865" s="258" t="s">
        <v>442</v>
      </c>
      <c r="E865" s="259">
        <v>80000</v>
      </c>
      <c r="F865" s="259">
        <v>137.242785575646</v>
      </c>
      <c r="G865" s="269">
        <v>579.64599999999996</v>
      </c>
      <c r="H865" s="261" t="s">
        <v>323</v>
      </c>
      <c r="I865" s="261" t="s">
        <v>1669</v>
      </c>
      <c r="J865" s="261" t="s">
        <v>98</v>
      </c>
      <c r="K865" s="277" t="s">
        <v>202</v>
      </c>
      <c r="L865" s="261" t="s">
        <v>155</v>
      </c>
      <c r="M865" s="257"/>
      <c r="N865" s="257"/>
      <c r="O865" s="257"/>
    </row>
    <row r="866" spans="1:15" hidden="1">
      <c r="A866" s="256">
        <v>45792</v>
      </c>
      <c r="B866" s="257" t="s">
        <v>1569</v>
      </c>
      <c r="C866" s="257" t="s">
        <v>152</v>
      </c>
      <c r="D866" s="258" t="s">
        <v>442</v>
      </c>
      <c r="E866" s="259">
        <v>5000</v>
      </c>
      <c r="F866" s="259">
        <v>8.5776740984778748</v>
      </c>
      <c r="G866" s="269">
        <v>579.64599999999996</v>
      </c>
      <c r="H866" s="261" t="s">
        <v>323</v>
      </c>
      <c r="I866" s="261" t="s">
        <v>1683</v>
      </c>
      <c r="J866" s="261" t="s">
        <v>98</v>
      </c>
      <c r="K866" s="277" t="s">
        <v>202</v>
      </c>
      <c r="L866" s="261" t="s">
        <v>155</v>
      </c>
      <c r="M866" s="257"/>
      <c r="N866" s="257"/>
      <c r="O866" s="257"/>
    </row>
    <row r="867" spans="1:15" hidden="1">
      <c r="A867" s="256">
        <v>45792</v>
      </c>
      <c r="B867" s="257" t="s">
        <v>1572</v>
      </c>
      <c r="C867" s="257" t="s">
        <v>152</v>
      </c>
      <c r="D867" s="258" t="s">
        <v>442</v>
      </c>
      <c r="E867" s="259">
        <v>10000</v>
      </c>
      <c r="F867" s="259">
        <v>17.15534819695575</v>
      </c>
      <c r="G867" s="269">
        <v>579.64599999999996</v>
      </c>
      <c r="H867" s="261" t="s">
        <v>323</v>
      </c>
      <c r="I867" s="261" t="s">
        <v>1684</v>
      </c>
      <c r="J867" s="261" t="s">
        <v>98</v>
      </c>
      <c r="K867" s="277" t="s">
        <v>202</v>
      </c>
      <c r="L867" s="261" t="s">
        <v>155</v>
      </c>
      <c r="M867" s="257"/>
      <c r="N867" s="257"/>
      <c r="O867" s="257"/>
    </row>
    <row r="868" spans="1:15" hidden="1">
      <c r="A868" s="256">
        <v>45792</v>
      </c>
      <c r="B868" s="257" t="s">
        <v>1570</v>
      </c>
      <c r="C868" s="257" t="s">
        <v>152</v>
      </c>
      <c r="D868" s="258" t="s">
        <v>117</v>
      </c>
      <c r="E868" s="259">
        <v>5000</v>
      </c>
      <c r="F868" s="259">
        <v>8.5776740984778748</v>
      </c>
      <c r="G868" s="269">
        <v>579.64599999999996</v>
      </c>
      <c r="H868" s="261" t="s">
        <v>190</v>
      </c>
      <c r="I868" s="261" t="s">
        <v>1754</v>
      </c>
      <c r="J868" s="261" t="s">
        <v>98</v>
      </c>
      <c r="K868" s="277" t="s">
        <v>202</v>
      </c>
      <c r="L868" s="261" t="s">
        <v>155</v>
      </c>
      <c r="M868" s="257"/>
      <c r="N868" s="257"/>
      <c r="O868" s="257"/>
    </row>
    <row r="869" spans="1:15" hidden="1">
      <c r="A869" s="256">
        <v>45792</v>
      </c>
      <c r="B869" s="257" t="s">
        <v>1571</v>
      </c>
      <c r="C869" s="257" t="s">
        <v>152</v>
      </c>
      <c r="D869" s="258" t="s">
        <v>117</v>
      </c>
      <c r="E869" s="259">
        <v>5000</v>
      </c>
      <c r="F869" s="259">
        <v>8.5776740984778748</v>
      </c>
      <c r="G869" s="269">
        <v>579.64599999999996</v>
      </c>
      <c r="H869" s="261" t="s">
        <v>190</v>
      </c>
      <c r="I869" s="261" t="s">
        <v>1755</v>
      </c>
      <c r="J869" s="261" t="s">
        <v>98</v>
      </c>
      <c r="K869" s="277" t="s">
        <v>202</v>
      </c>
      <c r="L869" s="261" t="s">
        <v>155</v>
      </c>
      <c r="M869" s="257"/>
      <c r="N869" s="257"/>
      <c r="O869" s="257"/>
    </row>
    <row r="870" spans="1:15" hidden="1">
      <c r="A870" s="256">
        <v>45792</v>
      </c>
      <c r="B870" s="257" t="s">
        <v>1570</v>
      </c>
      <c r="C870" s="257" t="s">
        <v>152</v>
      </c>
      <c r="D870" s="258" t="s">
        <v>117</v>
      </c>
      <c r="E870" s="259">
        <v>10000</v>
      </c>
      <c r="F870" s="259">
        <v>17.15534819695575</v>
      </c>
      <c r="G870" s="269">
        <v>579.64599999999996</v>
      </c>
      <c r="H870" s="261" t="s">
        <v>193</v>
      </c>
      <c r="I870" s="261" t="s">
        <v>1778</v>
      </c>
      <c r="J870" s="261" t="s">
        <v>98</v>
      </c>
      <c r="K870" s="277" t="s">
        <v>202</v>
      </c>
      <c r="L870" s="261" t="s">
        <v>155</v>
      </c>
      <c r="M870" s="257"/>
      <c r="N870" s="257"/>
      <c r="O870" s="257"/>
    </row>
    <row r="871" spans="1:15" hidden="1">
      <c r="A871" s="256">
        <v>45792</v>
      </c>
      <c r="B871" s="257" t="s">
        <v>1804</v>
      </c>
      <c r="C871" s="263" t="s">
        <v>177</v>
      </c>
      <c r="D871" s="258" t="s">
        <v>117</v>
      </c>
      <c r="E871" s="259">
        <v>200000</v>
      </c>
      <c r="F871" s="259">
        <v>343.10696393911502</v>
      </c>
      <c r="G871" s="269">
        <v>579.64599999999996</v>
      </c>
      <c r="H871" s="261" t="s">
        <v>437</v>
      </c>
      <c r="I871" s="261" t="s">
        <v>1805</v>
      </c>
      <c r="J871" s="261" t="s">
        <v>98</v>
      </c>
      <c r="K871" s="277" t="s">
        <v>202</v>
      </c>
      <c r="L871" s="261" t="s">
        <v>155</v>
      </c>
      <c r="M871" s="257"/>
      <c r="N871" s="257"/>
      <c r="O871" s="257"/>
    </row>
    <row r="872" spans="1:15" hidden="1">
      <c r="A872" s="256">
        <v>45792</v>
      </c>
      <c r="B872" s="257" t="s">
        <v>1570</v>
      </c>
      <c r="C872" s="257" t="s">
        <v>152</v>
      </c>
      <c r="D872" s="258" t="s">
        <v>117</v>
      </c>
      <c r="E872" s="259">
        <v>10000</v>
      </c>
      <c r="F872" s="259">
        <v>17.15534819695575</v>
      </c>
      <c r="G872" s="269">
        <v>579.64599999999996</v>
      </c>
      <c r="H872" s="261" t="s">
        <v>437</v>
      </c>
      <c r="I872" s="261" t="s">
        <v>1806</v>
      </c>
      <c r="J872" s="261" t="s">
        <v>98</v>
      </c>
      <c r="K872" s="277" t="s">
        <v>202</v>
      </c>
      <c r="L872" s="261" t="s">
        <v>155</v>
      </c>
      <c r="M872" s="257"/>
      <c r="N872" s="257"/>
      <c r="O872" s="257"/>
    </row>
    <row r="873" spans="1:15" hidden="1">
      <c r="A873" s="256">
        <v>45792</v>
      </c>
      <c r="B873" s="257" t="s">
        <v>1570</v>
      </c>
      <c r="C873" s="257" t="s">
        <v>152</v>
      </c>
      <c r="D873" s="258" t="s">
        <v>117</v>
      </c>
      <c r="E873" s="259">
        <v>10000</v>
      </c>
      <c r="F873" s="259">
        <v>17.15534819695575</v>
      </c>
      <c r="G873" s="269">
        <v>579.64599999999996</v>
      </c>
      <c r="H873" s="261" t="s">
        <v>187</v>
      </c>
      <c r="I873" s="261" t="s">
        <v>1858</v>
      </c>
      <c r="J873" s="261" t="s">
        <v>98</v>
      </c>
      <c r="K873" s="277" t="s">
        <v>202</v>
      </c>
      <c r="L873" s="261" t="s">
        <v>155</v>
      </c>
      <c r="M873" s="257"/>
      <c r="N873" s="257"/>
      <c r="O873" s="257"/>
    </row>
    <row r="874" spans="1:15" hidden="1">
      <c r="A874" s="256">
        <v>45793</v>
      </c>
      <c r="B874" s="257" t="s">
        <v>1703</v>
      </c>
      <c r="C874" s="263" t="s">
        <v>177</v>
      </c>
      <c r="D874" s="258" t="s">
        <v>117</v>
      </c>
      <c r="E874" s="259">
        <v>15000</v>
      </c>
      <c r="F874" s="259">
        <v>25.733022295433624</v>
      </c>
      <c r="G874" s="269">
        <v>579.64599999999996</v>
      </c>
      <c r="H874" s="261" t="s">
        <v>200</v>
      </c>
      <c r="I874" s="262" t="s">
        <v>1704</v>
      </c>
      <c r="J874" s="261" t="s">
        <v>98</v>
      </c>
      <c r="K874" s="277" t="s">
        <v>202</v>
      </c>
      <c r="L874" s="261" t="s">
        <v>155</v>
      </c>
      <c r="M874" s="257"/>
      <c r="N874" s="257"/>
      <c r="O874" s="257"/>
    </row>
    <row r="875" spans="1:15" hidden="1">
      <c r="A875" s="256">
        <v>45793</v>
      </c>
      <c r="B875" s="257" t="s">
        <v>3026</v>
      </c>
      <c r="C875" s="263" t="s">
        <v>177</v>
      </c>
      <c r="D875" s="258" t="s">
        <v>442</v>
      </c>
      <c r="E875" s="259">
        <v>15000</v>
      </c>
      <c r="F875" s="259">
        <v>25.733022295433624</v>
      </c>
      <c r="G875" s="269">
        <v>579.64599999999996</v>
      </c>
      <c r="H875" s="261" t="s">
        <v>184</v>
      </c>
      <c r="I875" s="262" t="s">
        <v>1613</v>
      </c>
      <c r="J875" s="261" t="s">
        <v>98</v>
      </c>
      <c r="K875" s="277" t="s">
        <v>202</v>
      </c>
      <c r="L875" s="261" t="s">
        <v>155</v>
      </c>
      <c r="M875" s="257"/>
      <c r="N875" s="257"/>
      <c r="O875" s="257"/>
    </row>
    <row r="876" spans="1:15" hidden="1">
      <c r="A876" s="256">
        <v>45793</v>
      </c>
      <c r="B876" s="257" t="s">
        <v>1807</v>
      </c>
      <c r="C876" s="263" t="s">
        <v>177</v>
      </c>
      <c r="D876" s="258" t="s">
        <v>117</v>
      </c>
      <c r="E876" s="259">
        <v>15000</v>
      </c>
      <c r="F876" s="259">
        <v>25.733022295433624</v>
      </c>
      <c r="G876" s="269">
        <v>579.64599999999996</v>
      </c>
      <c r="H876" s="261" t="s">
        <v>437</v>
      </c>
      <c r="I876" s="261" t="s">
        <v>1808</v>
      </c>
      <c r="J876" s="261" t="s">
        <v>98</v>
      </c>
      <c r="K876" s="277" t="s">
        <v>202</v>
      </c>
      <c r="L876" s="261" t="s">
        <v>155</v>
      </c>
      <c r="M876" s="257"/>
      <c r="N876" s="257"/>
      <c r="O876" s="257"/>
    </row>
    <row r="877" spans="1:15" hidden="1">
      <c r="A877" s="256">
        <v>45796</v>
      </c>
      <c r="B877" s="257" t="s">
        <v>2992</v>
      </c>
      <c r="C877" s="263" t="s">
        <v>177</v>
      </c>
      <c r="D877" s="258" t="s">
        <v>442</v>
      </c>
      <c r="E877" s="259">
        <v>45000</v>
      </c>
      <c r="F877" s="259">
        <v>77.199066886300869</v>
      </c>
      <c r="G877" s="269">
        <v>579.64599999999996</v>
      </c>
      <c r="H877" s="261" t="s">
        <v>175</v>
      </c>
      <c r="I877" s="261" t="s">
        <v>1644</v>
      </c>
      <c r="J877" s="261" t="s">
        <v>98</v>
      </c>
      <c r="K877" s="277" t="s">
        <v>202</v>
      </c>
      <c r="L877" s="261" t="s">
        <v>155</v>
      </c>
      <c r="M877" s="257"/>
      <c r="N877" s="257"/>
      <c r="O877" s="257"/>
    </row>
    <row r="878" spans="1:15" hidden="1">
      <c r="A878" s="256">
        <v>45796</v>
      </c>
      <c r="B878" s="257" t="s">
        <v>3232</v>
      </c>
      <c r="C878" s="263" t="s">
        <v>177</v>
      </c>
      <c r="D878" s="258" t="s">
        <v>442</v>
      </c>
      <c r="E878" s="259">
        <v>60000</v>
      </c>
      <c r="F878" s="259">
        <v>102.9320891817345</v>
      </c>
      <c r="G878" s="269">
        <v>579.64599999999996</v>
      </c>
      <c r="H878" s="261" t="s">
        <v>323</v>
      </c>
      <c r="I878" s="261" t="s">
        <v>1670</v>
      </c>
      <c r="J878" s="261" t="s">
        <v>98</v>
      </c>
      <c r="K878" s="277" t="s">
        <v>202</v>
      </c>
      <c r="L878" s="261" t="s">
        <v>155</v>
      </c>
      <c r="M878" s="257"/>
      <c r="N878" s="257"/>
      <c r="O878" s="257"/>
    </row>
    <row r="879" spans="1:15" hidden="1">
      <c r="A879" s="256">
        <v>45796</v>
      </c>
      <c r="B879" s="257" t="s">
        <v>3233</v>
      </c>
      <c r="C879" s="257" t="s">
        <v>174</v>
      </c>
      <c r="D879" s="258" t="s">
        <v>442</v>
      </c>
      <c r="E879" s="259">
        <v>7000</v>
      </c>
      <c r="F879" s="259">
        <v>12.008743737869025</v>
      </c>
      <c r="G879" s="269">
        <v>579.64599999999996</v>
      </c>
      <c r="H879" s="261" t="s">
        <v>323</v>
      </c>
      <c r="I879" s="261" t="s">
        <v>1671</v>
      </c>
      <c r="J879" s="261" t="s">
        <v>98</v>
      </c>
      <c r="K879" s="277" t="s">
        <v>202</v>
      </c>
      <c r="L879" s="261" t="s">
        <v>155</v>
      </c>
      <c r="M879" s="257"/>
      <c r="N879" s="257"/>
      <c r="O879" s="257"/>
    </row>
    <row r="880" spans="1:15" hidden="1">
      <c r="A880" s="256">
        <v>45796</v>
      </c>
      <c r="B880" s="257" t="s">
        <v>1540</v>
      </c>
      <c r="C880" s="264" t="s">
        <v>2086</v>
      </c>
      <c r="D880" s="257" t="s">
        <v>118</v>
      </c>
      <c r="E880" s="259">
        <v>23970</v>
      </c>
      <c r="F880" s="259">
        <v>41.121369628102933</v>
      </c>
      <c r="G880" s="269">
        <v>579.64599999999996</v>
      </c>
      <c r="H880" s="261" t="s">
        <v>190</v>
      </c>
      <c r="I880" s="261" t="s">
        <v>1748</v>
      </c>
      <c r="J880" s="261" t="s">
        <v>98</v>
      </c>
      <c r="K880" s="277" t="s">
        <v>202</v>
      </c>
      <c r="L880" s="261" t="s">
        <v>155</v>
      </c>
      <c r="M880" s="257"/>
      <c r="N880" s="257"/>
      <c r="O880" s="257"/>
    </row>
    <row r="881" spans="1:15" hidden="1">
      <c r="A881" s="256">
        <v>45796</v>
      </c>
      <c r="B881" s="257" t="s">
        <v>1541</v>
      </c>
      <c r="C881" s="263" t="s">
        <v>1542</v>
      </c>
      <c r="D881" s="257" t="s">
        <v>118</v>
      </c>
      <c r="E881" s="259">
        <v>42000</v>
      </c>
      <c r="F881" s="259">
        <v>72.052462427214152</v>
      </c>
      <c r="G881" s="269">
        <v>579.64599999999996</v>
      </c>
      <c r="H881" s="261" t="s">
        <v>187</v>
      </c>
      <c r="I881" s="261" t="s">
        <v>1770</v>
      </c>
      <c r="J881" s="261" t="s">
        <v>98</v>
      </c>
      <c r="K881" s="277" t="s">
        <v>202</v>
      </c>
      <c r="L881" s="261" t="s">
        <v>155</v>
      </c>
      <c r="M881" s="257"/>
      <c r="N881" s="257"/>
      <c r="O881" s="257"/>
    </row>
    <row r="882" spans="1:15" hidden="1">
      <c r="A882" s="256">
        <v>45797</v>
      </c>
      <c r="B882" s="257" t="s">
        <v>3076</v>
      </c>
      <c r="C882" s="257" t="s">
        <v>174</v>
      </c>
      <c r="D882" s="258" t="s">
        <v>442</v>
      </c>
      <c r="E882" s="259">
        <v>10000</v>
      </c>
      <c r="F882" s="259">
        <v>17.15534819695575</v>
      </c>
      <c r="G882" s="269">
        <v>579.64599999999996</v>
      </c>
      <c r="H882" s="261" t="s">
        <v>184</v>
      </c>
      <c r="I882" s="262" t="s">
        <v>1614</v>
      </c>
      <c r="J882" s="261" t="s">
        <v>98</v>
      </c>
      <c r="K882" s="277" t="s">
        <v>202</v>
      </c>
      <c r="L882" s="261" t="s">
        <v>155</v>
      </c>
      <c r="M882" s="257"/>
      <c r="N882" s="257"/>
      <c r="O882" s="257"/>
    </row>
    <row r="883" spans="1:15" hidden="1">
      <c r="A883" s="256">
        <v>45797</v>
      </c>
      <c r="B883" s="257" t="s">
        <v>3029</v>
      </c>
      <c r="C883" s="257" t="s">
        <v>174</v>
      </c>
      <c r="D883" s="258" t="s">
        <v>442</v>
      </c>
      <c r="E883" s="259">
        <v>10000</v>
      </c>
      <c r="F883" s="259">
        <v>17.15534819695575</v>
      </c>
      <c r="G883" s="269">
        <v>579.64599999999996</v>
      </c>
      <c r="H883" s="261" t="s">
        <v>184</v>
      </c>
      <c r="I883" s="262" t="s">
        <v>1615</v>
      </c>
      <c r="J883" s="261" t="s">
        <v>98</v>
      </c>
      <c r="K883" s="277" t="s">
        <v>202</v>
      </c>
      <c r="L883" s="261" t="s">
        <v>155</v>
      </c>
      <c r="M883" s="257"/>
      <c r="N883" s="257"/>
      <c r="O883" s="257"/>
    </row>
    <row r="884" spans="1:15" hidden="1">
      <c r="A884" s="256">
        <v>45797</v>
      </c>
      <c r="B884" s="257" t="s">
        <v>2993</v>
      </c>
      <c r="C884" s="257" t="s">
        <v>1006</v>
      </c>
      <c r="D884" s="258" t="s">
        <v>442</v>
      </c>
      <c r="E884" s="259">
        <v>10000</v>
      </c>
      <c r="F884" s="259">
        <v>17.15534819695575</v>
      </c>
      <c r="G884" s="269">
        <v>579.64599999999996</v>
      </c>
      <c r="H884" s="261" t="s">
        <v>175</v>
      </c>
      <c r="I884" s="261" t="s">
        <v>1645</v>
      </c>
      <c r="J884" s="261" t="s">
        <v>98</v>
      </c>
      <c r="K884" s="277" t="s">
        <v>202</v>
      </c>
      <c r="L884" s="261" t="s">
        <v>155</v>
      </c>
      <c r="M884" s="257"/>
      <c r="N884" s="257"/>
      <c r="O884" s="257"/>
    </row>
    <row r="885" spans="1:15" hidden="1">
      <c r="A885" s="256">
        <v>45797</v>
      </c>
      <c r="B885" s="257" t="s">
        <v>3064</v>
      </c>
      <c r="C885" s="257" t="s">
        <v>174</v>
      </c>
      <c r="D885" s="258" t="s">
        <v>442</v>
      </c>
      <c r="E885" s="259">
        <v>9000</v>
      </c>
      <c r="F885" s="259">
        <v>15.439813377260174</v>
      </c>
      <c r="G885" s="269">
        <v>579.64599999999996</v>
      </c>
      <c r="H885" s="261" t="s">
        <v>317</v>
      </c>
      <c r="I885" s="261" t="s">
        <v>1587</v>
      </c>
      <c r="J885" s="261" t="s">
        <v>98</v>
      </c>
      <c r="K885" s="277" t="s">
        <v>202</v>
      </c>
      <c r="L885" s="261" t="s">
        <v>155</v>
      </c>
      <c r="M885" s="257"/>
      <c r="N885" s="257"/>
      <c r="O885" s="257"/>
    </row>
    <row r="886" spans="1:15" hidden="1">
      <c r="A886" s="256">
        <v>45797</v>
      </c>
      <c r="B886" s="257" t="s">
        <v>1568</v>
      </c>
      <c r="C886" s="257" t="s">
        <v>152</v>
      </c>
      <c r="D886" s="258" t="s">
        <v>442</v>
      </c>
      <c r="E886" s="259">
        <v>10000</v>
      </c>
      <c r="F886" s="259">
        <v>17.827139780891613</v>
      </c>
      <c r="G886" s="269">
        <v>579.64599999999996</v>
      </c>
      <c r="H886" s="261" t="s">
        <v>317</v>
      </c>
      <c r="I886" s="261" t="s">
        <v>1601</v>
      </c>
      <c r="J886" s="261" t="s">
        <v>98</v>
      </c>
      <c r="K886" s="277" t="s">
        <v>202</v>
      </c>
      <c r="L886" s="261" t="s">
        <v>155</v>
      </c>
      <c r="M886" s="257"/>
      <c r="N886" s="257"/>
      <c r="O886" s="257"/>
    </row>
    <row r="887" spans="1:15" hidden="1">
      <c r="A887" s="256">
        <v>45797</v>
      </c>
      <c r="B887" s="257" t="s">
        <v>1756</v>
      </c>
      <c r="C887" s="257" t="s">
        <v>174</v>
      </c>
      <c r="D887" s="258" t="s">
        <v>117</v>
      </c>
      <c r="E887" s="259">
        <v>10000</v>
      </c>
      <c r="F887" s="259">
        <v>17.827139780891613</v>
      </c>
      <c r="G887" s="269">
        <v>579.64599999999996</v>
      </c>
      <c r="H887" s="261" t="s">
        <v>190</v>
      </c>
      <c r="I887" s="261" t="s">
        <v>1757</v>
      </c>
      <c r="J887" s="261" t="s">
        <v>98</v>
      </c>
      <c r="K887" s="277" t="s">
        <v>202</v>
      </c>
      <c r="L887" s="261" t="s">
        <v>155</v>
      </c>
      <c r="M887" s="257"/>
      <c r="N887" s="257"/>
      <c r="O887" s="257"/>
    </row>
    <row r="888" spans="1:15" hidden="1">
      <c r="A888" s="256">
        <v>45797</v>
      </c>
      <c r="B888" s="257" t="s">
        <v>1845</v>
      </c>
      <c r="C888" s="257" t="s">
        <v>174</v>
      </c>
      <c r="D888" s="258" t="s">
        <v>117</v>
      </c>
      <c r="E888" s="259">
        <v>29000</v>
      </c>
      <c r="F888" s="259">
        <v>51.698705364585685</v>
      </c>
      <c r="G888" s="269">
        <v>579.64599999999996</v>
      </c>
      <c r="H888" s="261" t="s">
        <v>190</v>
      </c>
      <c r="I888" s="261" t="s">
        <v>1841</v>
      </c>
      <c r="J888" s="261" t="s">
        <v>98</v>
      </c>
      <c r="K888" s="277" t="s">
        <v>202</v>
      </c>
      <c r="L888" s="261" t="s">
        <v>155</v>
      </c>
      <c r="M888" s="257"/>
      <c r="N888" s="257"/>
      <c r="O888" s="257"/>
    </row>
    <row r="889" spans="1:15" hidden="1">
      <c r="A889" s="256">
        <v>45797</v>
      </c>
      <c r="B889" s="257" t="s">
        <v>1846</v>
      </c>
      <c r="C889" s="263" t="s">
        <v>177</v>
      </c>
      <c r="D889" s="258" t="s">
        <v>117</v>
      </c>
      <c r="E889" s="259">
        <v>50000</v>
      </c>
      <c r="F889" s="259">
        <v>89.135698904458081</v>
      </c>
      <c r="G889" s="269">
        <v>579.64599999999996</v>
      </c>
      <c r="H889" s="261" t="s">
        <v>190</v>
      </c>
      <c r="I889" s="261" t="s">
        <v>1842</v>
      </c>
      <c r="J889" s="261" t="s">
        <v>98</v>
      </c>
      <c r="K889" s="277" t="s">
        <v>202</v>
      </c>
      <c r="L889" s="261" t="s">
        <v>155</v>
      </c>
      <c r="M889" s="257"/>
      <c r="N889" s="257"/>
      <c r="O889" s="257"/>
    </row>
    <row r="890" spans="1:15" hidden="1">
      <c r="A890" s="256">
        <v>45797</v>
      </c>
      <c r="B890" s="257" t="s">
        <v>1779</v>
      </c>
      <c r="C890" s="257" t="s">
        <v>174</v>
      </c>
      <c r="D890" s="258" t="s">
        <v>117</v>
      </c>
      <c r="E890" s="259">
        <v>8000</v>
      </c>
      <c r="F890" s="259">
        <v>14.261711824713291</v>
      </c>
      <c r="G890" s="269">
        <v>579.64599999999996</v>
      </c>
      <c r="H890" s="261" t="s">
        <v>193</v>
      </c>
      <c r="I890" s="261" t="s">
        <v>1780</v>
      </c>
      <c r="J890" s="261" t="s">
        <v>98</v>
      </c>
      <c r="K890" s="277" t="s">
        <v>202</v>
      </c>
      <c r="L890" s="261" t="s">
        <v>155</v>
      </c>
      <c r="M890" s="257"/>
      <c r="N890" s="257"/>
      <c r="O890" s="257"/>
    </row>
    <row r="891" spans="1:15" hidden="1">
      <c r="A891" s="256">
        <v>45797</v>
      </c>
      <c r="B891" s="257" t="s">
        <v>1543</v>
      </c>
      <c r="C891" s="257" t="s">
        <v>127</v>
      </c>
      <c r="D891" s="257" t="s">
        <v>120</v>
      </c>
      <c r="E891" s="259">
        <v>30000</v>
      </c>
      <c r="F891" s="259">
        <v>53.481419342674847</v>
      </c>
      <c r="G891" s="260">
        <v>560.94248000000005</v>
      </c>
      <c r="H891" s="261" t="s">
        <v>213</v>
      </c>
      <c r="I891" s="266" t="s">
        <v>1823</v>
      </c>
      <c r="J891" s="261" t="s">
        <v>98</v>
      </c>
      <c r="K891" s="274" t="s">
        <v>1902</v>
      </c>
      <c r="L891" s="279" t="s">
        <v>155</v>
      </c>
      <c r="M891" s="257"/>
      <c r="N891" s="257"/>
      <c r="O891" s="257"/>
    </row>
    <row r="892" spans="1:15" hidden="1">
      <c r="A892" s="256">
        <v>45797</v>
      </c>
      <c r="B892" s="257" t="s">
        <v>1567</v>
      </c>
      <c r="C892" s="257" t="s">
        <v>152</v>
      </c>
      <c r="D892" s="257" t="s">
        <v>120</v>
      </c>
      <c r="E892" s="259">
        <v>10000</v>
      </c>
      <c r="F892" s="259">
        <v>17.827139780891613</v>
      </c>
      <c r="G892" s="269">
        <v>579.64599999999996</v>
      </c>
      <c r="H892" s="261" t="s">
        <v>213</v>
      </c>
      <c r="I892" s="261" t="s">
        <v>1835</v>
      </c>
      <c r="J892" s="261" t="s">
        <v>98</v>
      </c>
      <c r="K892" s="277" t="s">
        <v>202</v>
      </c>
      <c r="L892" s="261" t="s">
        <v>155</v>
      </c>
      <c r="M892" s="257"/>
      <c r="N892" s="257"/>
      <c r="O892" s="257"/>
    </row>
    <row r="893" spans="1:15" hidden="1">
      <c r="A893" s="256">
        <v>45797</v>
      </c>
      <c r="B893" s="257" t="s">
        <v>1859</v>
      </c>
      <c r="C893" s="257" t="s">
        <v>174</v>
      </c>
      <c r="D893" s="258" t="s">
        <v>117</v>
      </c>
      <c r="E893" s="259">
        <v>7000</v>
      </c>
      <c r="F893" s="259">
        <v>12.47899784662413</v>
      </c>
      <c r="G893" s="269">
        <v>579.64599999999996</v>
      </c>
      <c r="H893" s="261" t="s">
        <v>187</v>
      </c>
      <c r="I893" s="261" t="s">
        <v>1860</v>
      </c>
      <c r="J893" s="261" t="s">
        <v>98</v>
      </c>
      <c r="K893" s="277" t="s">
        <v>202</v>
      </c>
      <c r="L893" s="261" t="s">
        <v>155</v>
      </c>
      <c r="M893" s="257"/>
      <c r="N893" s="257"/>
      <c r="O893" s="257"/>
    </row>
    <row r="894" spans="1:15" hidden="1">
      <c r="A894" s="256">
        <v>45798</v>
      </c>
      <c r="B894" s="257" t="s">
        <v>1544</v>
      </c>
      <c r="C894" s="263" t="s">
        <v>1542</v>
      </c>
      <c r="D894" s="257" t="s">
        <v>118</v>
      </c>
      <c r="E894" s="259">
        <v>80000</v>
      </c>
      <c r="F894" s="259">
        <v>142.61711824713291</v>
      </c>
      <c r="G894" s="269">
        <v>579.64599999999996</v>
      </c>
      <c r="H894" s="261" t="s">
        <v>583</v>
      </c>
      <c r="I894" s="261" t="s">
        <v>1728</v>
      </c>
      <c r="J894" s="261" t="s">
        <v>98</v>
      </c>
      <c r="K894" s="277" t="s">
        <v>202</v>
      </c>
      <c r="L894" s="261" t="s">
        <v>155</v>
      </c>
      <c r="M894" s="257"/>
      <c r="N894" s="257"/>
      <c r="O894" s="257"/>
    </row>
    <row r="895" spans="1:15" hidden="1">
      <c r="A895" s="256">
        <v>45798</v>
      </c>
      <c r="B895" s="257" t="s">
        <v>1646</v>
      </c>
      <c r="C895" s="257" t="s">
        <v>368</v>
      </c>
      <c r="D895" s="258" t="s">
        <v>442</v>
      </c>
      <c r="E895" s="259">
        <v>23000</v>
      </c>
      <c r="F895" s="259">
        <v>41.002421496050715</v>
      </c>
      <c r="G895" s="269">
        <v>579.64599999999996</v>
      </c>
      <c r="H895" s="261" t="s">
        <v>175</v>
      </c>
      <c r="I895" s="261" t="s">
        <v>1647</v>
      </c>
      <c r="J895" s="261" t="s">
        <v>98</v>
      </c>
      <c r="K895" s="277" t="s">
        <v>202</v>
      </c>
      <c r="L895" s="261" t="s">
        <v>155</v>
      </c>
      <c r="M895" s="257"/>
      <c r="N895" s="257"/>
      <c r="O895" s="257"/>
    </row>
    <row r="896" spans="1:15" hidden="1">
      <c r="A896" s="256">
        <v>45798</v>
      </c>
      <c r="B896" s="257" t="s">
        <v>3088</v>
      </c>
      <c r="C896" s="263" t="s">
        <v>177</v>
      </c>
      <c r="D896" s="258" t="s">
        <v>442</v>
      </c>
      <c r="E896" s="259">
        <v>80000</v>
      </c>
      <c r="F896" s="259">
        <v>142.61711824713291</v>
      </c>
      <c r="G896" s="269">
        <v>579.64599999999996</v>
      </c>
      <c r="H896" s="261" t="s">
        <v>317</v>
      </c>
      <c r="I896" s="261" t="s">
        <v>1588</v>
      </c>
      <c r="J896" s="261" t="s">
        <v>98</v>
      </c>
      <c r="K896" s="277" t="s">
        <v>202</v>
      </c>
      <c r="L896" s="261" t="s">
        <v>155</v>
      </c>
      <c r="M896" s="257"/>
      <c r="N896" s="257"/>
      <c r="O896" s="257"/>
    </row>
    <row r="897" spans="1:15" hidden="1">
      <c r="A897" s="256">
        <v>45798</v>
      </c>
      <c r="B897" s="257" t="s">
        <v>3232</v>
      </c>
      <c r="C897" s="263" t="s">
        <v>177</v>
      </c>
      <c r="D897" s="258" t="s">
        <v>442</v>
      </c>
      <c r="E897" s="259">
        <v>30000</v>
      </c>
      <c r="F897" s="259">
        <v>53.481419342674847</v>
      </c>
      <c r="G897" s="269">
        <v>579.64599999999996</v>
      </c>
      <c r="H897" s="261" t="s">
        <v>323</v>
      </c>
      <c r="I897" s="261" t="s">
        <v>1672</v>
      </c>
      <c r="J897" s="261" t="s">
        <v>98</v>
      </c>
      <c r="K897" s="277" t="s">
        <v>202</v>
      </c>
      <c r="L897" s="261" t="s">
        <v>155</v>
      </c>
      <c r="M897" s="257"/>
      <c r="N897" s="257"/>
      <c r="O897" s="257"/>
    </row>
    <row r="898" spans="1:15" hidden="1">
      <c r="A898" s="256">
        <v>45798</v>
      </c>
      <c r="B898" s="257" t="s">
        <v>3192</v>
      </c>
      <c r="C898" s="257" t="s">
        <v>174</v>
      </c>
      <c r="D898" s="258" t="s">
        <v>442</v>
      </c>
      <c r="E898" s="259">
        <v>7000</v>
      </c>
      <c r="F898" s="259">
        <v>12.47899784662413</v>
      </c>
      <c r="G898" s="269">
        <v>579.64599999999996</v>
      </c>
      <c r="H898" s="261" t="s">
        <v>323</v>
      </c>
      <c r="I898" s="261" t="s">
        <v>1673</v>
      </c>
      <c r="J898" s="261" t="s">
        <v>98</v>
      </c>
      <c r="K898" s="277" t="s">
        <v>202</v>
      </c>
      <c r="L898" s="261" t="s">
        <v>155</v>
      </c>
      <c r="M898" s="257"/>
      <c r="N898" s="257"/>
      <c r="O898" s="257"/>
    </row>
    <row r="899" spans="1:15" hidden="1">
      <c r="A899" s="256">
        <v>45798</v>
      </c>
      <c r="B899" s="257" t="s">
        <v>1758</v>
      </c>
      <c r="C899" s="263" t="s">
        <v>177</v>
      </c>
      <c r="D899" s="258" t="s">
        <v>117</v>
      </c>
      <c r="E899" s="259">
        <v>20000</v>
      </c>
      <c r="F899" s="259">
        <v>35.654279561783227</v>
      </c>
      <c r="G899" s="269">
        <v>579.64599999999996</v>
      </c>
      <c r="H899" s="261" t="s">
        <v>190</v>
      </c>
      <c r="I899" s="261" t="s">
        <v>1759</v>
      </c>
      <c r="J899" s="261" t="s">
        <v>98</v>
      </c>
      <c r="K899" s="277" t="s">
        <v>202</v>
      </c>
      <c r="L899" s="261" t="s">
        <v>155</v>
      </c>
      <c r="M899" s="257"/>
      <c r="N899" s="257"/>
      <c r="O899" s="257"/>
    </row>
    <row r="900" spans="1:15" hidden="1">
      <c r="A900" s="256">
        <v>45798</v>
      </c>
      <c r="B900" s="257" t="s">
        <v>1349</v>
      </c>
      <c r="C900" s="257" t="s">
        <v>174</v>
      </c>
      <c r="D900" s="258" t="s">
        <v>117</v>
      </c>
      <c r="E900" s="259">
        <v>4000</v>
      </c>
      <c r="F900" s="259">
        <v>7.1308559123566457</v>
      </c>
      <c r="G900" s="269">
        <v>579.64599999999996</v>
      </c>
      <c r="H900" s="261" t="s">
        <v>193</v>
      </c>
      <c r="I900" s="261" t="s">
        <v>1781</v>
      </c>
      <c r="J900" s="261" t="s">
        <v>98</v>
      </c>
      <c r="K900" s="277" t="s">
        <v>202</v>
      </c>
      <c r="L900" s="261" t="s">
        <v>155</v>
      </c>
      <c r="M900" s="257"/>
      <c r="N900" s="257"/>
      <c r="O900" s="257"/>
    </row>
    <row r="901" spans="1:15" hidden="1">
      <c r="A901" s="256">
        <v>45798</v>
      </c>
      <c r="B901" s="257" t="s">
        <v>1782</v>
      </c>
      <c r="C901" s="263" t="s">
        <v>177</v>
      </c>
      <c r="D901" s="258" t="s">
        <v>117</v>
      </c>
      <c r="E901" s="259">
        <v>20000</v>
      </c>
      <c r="F901" s="259">
        <v>35.654279561783227</v>
      </c>
      <c r="G901" s="269">
        <v>579.64599999999996</v>
      </c>
      <c r="H901" s="261" t="s">
        <v>193</v>
      </c>
      <c r="I901" s="261" t="s">
        <v>1783</v>
      </c>
      <c r="J901" s="261" t="s">
        <v>98</v>
      </c>
      <c r="K901" s="277" t="s">
        <v>202</v>
      </c>
      <c r="L901" s="261" t="s">
        <v>155</v>
      </c>
      <c r="M901" s="257"/>
      <c r="N901" s="257"/>
      <c r="O901" s="257"/>
    </row>
    <row r="902" spans="1:15" hidden="1">
      <c r="A902" s="256">
        <v>45798</v>
      </c>
      <c r="B902" s="257" t="s">
        <v>1824</v>
      </c>
      <c r="C902" s="257" t="s">
        <v>174</v>
      </c>
      <c r="D902" s="257" t="s">
        <v>120</v>
      </c>
      <c r="E902" s="259">
        <v>33000</v>
      </c>
      <c r="F902" s="259">
        <v>58.829561276942329</v>
      </c>
      <c r="G902" s="269">
        <v>579.64599999999996</v>
      </c>
      <c r="H902" s="261" t="s">
        <v>213</v>
      </c>
      <c r="I902" s="261" t="s">
        <v>1825</v>
      </c>
      <c r="J902" s="261" t="s">
        <v>98</v>
      </c>
      <c r="K902" s="277" t="s">
        <v>202</v>
      </c>
      <c r="L902" s="261" t="s">
        <v>155</v>
      </c>
      <c r="M902" s="257"/>
      <c r="N902" s="257"/>
      <c r="O902" s="257"/>
    </row>
    <row r="903" spans="1:15" hidden="1">
      <c r="A903" s="256">
        <v>45798</v>
      </c>
      <c r="B903" s="257" t="s">
        <v>1861</v>
      </c>
      <c r="C903" s="263" t="s">
        <v>177</v>
      </c>
      <c r="D903" s="258" t="s">
        <v>117</v>
      </c>
      <c r="E903" s="259">
        <v>20000</v>
      </c>
      <c r="F903" s="259">
        <v>35.654279561783227</v>
      </c>
      <c r="G903" s="269">
        <v>579.64599999999996</v>
      </c>
      <c r="H903" s="261" t="s">
        <v>187</v>
      </c>
      <c r="I903" s="261" t="s">
        <v>1862</v>
      </c>
      <c r="J903" s="261" t="s">
        <v>98</v>
      </c>
      <c r="K903" s="277" t="s">
        <v>202</v>
      </c>
      <c r="L903" s="261" t="s">
        <v>155</v>
      </c>
      <c r="M903" s="257"/>
      <c r="N903" s="257"/>
      <c r="O903" s="257"/>
    </row>
    <row r="904" spans="1:15" hidden="1">
      <c r="A904" s="256">
        <v>45799</v>
      </c>
      <c r="B904" s="257" t="s">
        <v>3082</v>
      </c>
      <c r="C904" s="263" t="s">
        <v>177</v>
      </c>
      <c r="D904" s="258" t="s">
        <v>442</v>
      </c>
      <c r="E904" s="259">
        <v>30000</v>
      </c>
      <c r="F904" s="259">
        <v>53.481419342674847</v>
      </c>
      <c r="G904" s="269">
        <v>579.64599999999996</v>
      </c>
      <c r="H904" s="261" t="s">
        <v>175</v>
      </c>
      <c r="I904" s="261" t="s">
        <v>1648</v>
      </c>
      <c r="J904" s="261" t="s">
        <v>98</v>
      </c>
      <c r="K904" s="277" t="s">
        <v>202</v>
      </c>
      <c r="L904" s="261" t="s">
        <v>155</v>
      </c>
      <c r="M904" s="257"/>
      <c r="N904" s="257"/>
      <c r="O904" s="257"/>
    </row>
    <row r="905" spans="1:15" hidden="1">
      <c r="A905" s="256">
        <v>45799</v>
      </c>
      <c r="B905" s="257" t="s">
        <v>1545</v>
      </c>
      <c r="C905" s="257" t="s">
        <v>304</v>
      </c>
      <c r="D905" s="257" t="s">
        <v>118</v>
      </c>
      <c r="E905" s="259">
        <v>10000</v>
      </c>
      <c r="F905" s="259">
        <v>17.827139780891613</v>
      </c>
      <c r="G905" s="269">
        <v>579.64599999999996</v>
      </c>
      <c r="H905" s="261" t="s">
        <v>583</v>
      </c>
      <c r="I905" s="261" t="s">
        <v>1729</v>
      </c>
      <c r="J905" s="261" t="s">
        <v>98</v>
      </c>
      <c r="K905" s="277" t="s">
        <v>202</v>
      </c>
      <c r="L905" s="261" t="s">
        <v>155</v>
      </c>
      <c r="M905" s="257"/>
      <c r="N905" s="257"/>
      <c r="O905" s="257"/>
    </row>
    <row r="906" spans="1:15" hidden="1">
      <c r="A906" s="256">
        <v>45799</v>
      </c>
      <c r="B906" s="257" t="s">
        <v>2990</v>
      </c>
      <c r="C906" s="257" t="s">
        <v>174</v>
      </c>
      <c r="D906" s="258" t="s">
        <v>442</v>
      </c>
      <c r="E906" s="259">
        <v>10000</v>
      </c>
      <c r="F906" s="259">
        <v>17.827139780891613</v>
      </c>
      <c r="G906" s="269">
        <v>579.64599999999996</v>
      </c>
      <c r="H906" s="261" t="s">
        <v>175</v>
      </c>
      <c r="I906" s="261" t="s">
        <v>1649</v>
      </c>
      <c r="J906" s="261" t="s">
        <v>98</v>
      </c>
      <c r="K906" s="277" t="s">
        <v>202</v>
      </c>
      <c r="L906" s="261" t="s">
        <v>155</v>
      </c>
      <c r="M906" s="257"/>
      <c r="N906" s="257"/>
      <c r="O906" s="257"/>
    </row>
    <row r="907" spans="1:15" hidden="1">
      <c r="A907" s="256">
        <v>45799</v>
      </c>
      <c r="B907" s="257" t="s">
        <v>3067</v>
      </c>
      <c r="C907" s="263" t="s">
        <v>177</v>
      </c>
      <c r="D907" s="258" t="s">
        <v>442</v>
      </c>
      <c r="E907" s="259">
        <v>15000</v>
      </c>
      <c r="F907" s="259">
        <v>26.740709671337424</v>
      </c>
      <c r="G907" s="269">
        <v>579.64599999999996</v>
      </c>
      <c r="H907" s="261" t="s">
        <v>317</v>
      </c>
      <c r="I907" s="261" t="s">
        <v>1589</v>
      </c>
      <c r="J907" s="261" t="s">
        <v>98</v>
      </c>
      <c r="K907" s="277" t="s">
        <v>202</v>
      </c>
      <c r="L907" s="261" t="s">
        <v>155</v>
      </c>
      <c r="M907" s="257"/>
      <c r="N907" s="257"/>
      <c r="O907" s="257"/>
    </row>
    <row r="908" spans="1:15" hidden="1">
      <c r="A908" s="256">
        <v>45799</v>
      </c>
      <c r="B908" s="257" t="s">
        <v>3066</v>
      </c>
      <c r="C908" s="257" t="s">
        <v>174</v>
      </c>
      <c r="D908" s="258" t="s">
        <v>442</v>
      </c>
      <c r="E908" s="259">
        <v>8000</v>
      </c>
      <c r="F908" s="259">
        <v>14.261711824713291</v>
      </c>
      <c r="G908" s="269">
        <v>579.64599999999996</v>
      </c>
      <c r="H908" s="261" t="s">
        <v>317</v>
      </c>
      <c r="I908" s="261" t="s">
        <v>1590</v>
      </c>
      <c r="J908" s="261" t="s">
        <v>98</v>
      </c>
      <c r="K908" s="277" t="s">
        <v>202</v>
      </c>
      <c r="L908" s="261" t="s">
        <v>155</v>
      </c>
      <c r="M908" s="257"/>
      <c r="N908" s="257"/>
      <c r="O908" s="257"/>
    </row>
    <row r="909" spans="1:15" hidden="1">
      <c r="A909" s="256">
        <v>45799</v>
      </c>
      <c r="B909" s="257" t="s">
        <v>3192</v>
      </c>
      <c r="C909" s="257" t="s">
        <v>174</v>
      </c>
      <c r="D909" s="258" t="s">
        <v>442</v>
      </c>
      <c r="E909" s="259">
        <v>3000</v>
      </c>
      <c r="F909" s="259">
        <v>5.3481419342674847</v>
      </c>
      <c r="G909" s="269">
        <v>579.64599999999996</v>
      </c>
      <c r="H909" s="261" t="s">
        <v>323</v>
      </c>
      <c r="I909" s="261" t="s">
        <v>1674</v>
      </c>
      <c r="J909" s="261" t="s">
        <v>98</v>
      </c>
      <c r="K909" s="277" t="s">
        <v>202</v>
      </c>
      <c r="L909" s="261" t="s">
        <v>155</v>
      </c>
      <c r="M909" s="257"/>
      <c r="N909" s="257"/>
      <c r="O909" s="257"/>
    </row>
    <row r="910" spans="1:15" hidden="1">
      <c r="A910" s="256">
        <v>45799</v>
      </c>
      <c r="B910" s="257" t="s">
        <v>3234</v>
      </c>
      <c r="C910" s="257" t="s">
        <v>174</v>
      </c>
      <c r="D910" s="258" t="s">
        <v>442</v>
      </c>
      <c r="E910" s="259">
        <v>3000</v>
      </c>
      <c r="F910" s="259">
        <v>5.3481419342674847</v>
      </c>
      <c r="G910" s="269">
        <v>579.64599999999996</v>
      </c>
      <c r="H910" s="261" t="s">
        <v>323</v>
      </c>
      <c r="I910" s="261" t="s">
        <v>1675</v>
      </c>
      <c r="J910" s="261" t="s">
        <v>98</v>
      </c>
      <c r="K910" s="277" t="s">
        <v>202</v>
      </c>
      <c r="L910" s="261" t="s">
        <v>155</v>
      </c>
      <c r="M910" s="257"/>
      <c r="N910" s="257"/>
      <c r="O910" s="257"/>
    </row>
    <row r="911" spans="1:15" hidden="1">
      <c r="A911" s="256">
        <v>45799</v>
      </c>
      <c r="B911" s="257" t="s">
        <v>3199</v>
      </c>
      <c r="C911" s="257" t="s">
        <v>174</v>
      </c>
      <c r="D911" s="258" t="s">
        <v>442</v>
      </c>
      <c r="E911" s="259">
        <v>10000</v>
      </c>
      <c r="F911" s="259">
        <v>17.827139780891613</v>
      </c>
      <c r="G911" s="269">
        <v>579.64599999999996</v>
      </c>
      <c r="H911" s="261" t="s">
        <v>323</v>
      </c>
      <c r="I911" s="261" t="s">
        <v>1676</v>
      </c>
      <c r="J911" s="261" t="s">
        <v>98</v>
      </c>
      <c r="K911" s="277" t="s">
        <v>202</v>
      </c>
      <c r="L911" s="261" t="s">
        <v>155</v>
      </c>
      <c r="M911" s="257"/>
      <c r="N911" s="257"/>
      <c r="O911" s="257"/>
    </row>
    <row r="912" spans="1:15" hidden="1">
      <c r="A912" s="256">
        <v>45799</v>
      </c>
      <c r="B912" s="257" t="s">
        <v>1762</v>
      </c>
      <c r="C912" s="257" t="s">
        <v>313</v>
      </c>
      <c r="D912" s="258" t="s">
        <v>117</v>
      </c>
      <c r="E912" s="259">
        <v>27000</v>
      </c>
      <c r="F912" s="259">
        <v>48.133277408407359</v>
      </c>
      <c r="G912" s="269">
        <v>579.64599999999996</v>
      </c>
      <c r="H912" s="261" t="s">
        <v>190</v>
      </c>
      <c r="I912" s="261" t="s">
        <v>1763</v>
      </c>
      <c r="J912" s="261" t="s">
        <v>98</v>
      </c>
      <c r="K912" s="277" t="s">
        <v>202</v>
      </c>
      <c r="L912" s="261" t="s">
        <v>155</v>
      </c>
      <c r="M912" s="257"/>
      <c r="N912" s="257"/>
      <c r="O912" s="257"/>
    </row>
    <row r="913" spans="1:15" hidden="1">
      <c r="A913" s="256">
        <v>45799</v>
      </c>
      <c r="B913" s="257" t="s">
        <v>1784</v>
      </c>
      <c r="C913" s="257" t="s">
        <v>313</v>
      </c>
      <c r="D913" s="258" t="s">
        <v>117</v>
      </c>
      <c r="E913" s="259">
        <v>9000</v>
      </c>
      <c r="F913" s="259">
        <v>16.044425802802454</v>
      </c>
      <c r="G913" s="269">
        <v>579.64599999999996</v>
      </c>
      <c r="H913" s="261" t="s">
        <v>193</v>
      </c>
      <c r="I913" s="261" t="s">
        <v>1785</v>
      </c>
      <c r="J913" s="261" t="s">
        <v>98</v>
      </c>
      <c r="K913" s="277" t="s">
        <v>202</v>
      </c>
      <c r="L913" s="261" t="s">
        <v>155</v>
      </c>
      <c r="M913" s="257"/>
      <c r="N913" s="257"/>
      <c r="O913" s="257"/>
    </row>
    <row r="914" spans="1:15" hidden="1">
      <c r="A914" s="256">
        <v>45799</v>
      </c>
      <c r="B914" s="257" t="s">
        <v>1826</v>
      </c>
      <c r="C914" s="263" t="s">
        <v>177</v>
      </c>
      <c r="D914" s="257" t="s">
        <v>120</v>
      </c>
      <c r="E914" s="259">
        <v>130000</v>
      </c>
      <c r="F914" s="259">
        <v>231.75281715159099</v>
      </c>
      <c r="G914" s="269">
        <v>579.64599999999996</v>
      </c>
      <c r="H914" s="261" t="s">
        <v>213</v>
      </c>
      <c r="I914" s="261" t="s">
        <v>1827</v>
      </c>
      <c r="J914" s="261" t="s">
        <v>98</v>
      </c>
      <c r="K914" s="277" t="s">
        <v>202</v>
      </c>
      <c r="L914" s="261" t="s">
        <v>155</v>
      </c>
      <c r="M914" s="257"/>
      <c r="N914" s="257"/>
      <c r="O914" s="257"/>
    </row>
    <row r="915" spans="1:15" hidden="1">
      <c r="A915" s="256">
        <v>45799</v>
      </c>
      <c r="B915" s="257" t="s">
        <v>1863</v>
      </c>
      <c r="C915" s="257" t="s">
        <v>174</v>
      </c>
      <c r="D915" s="258" t="s">
        <v>117</v>
      </c>
      <c r="E915" s="259">
        <v>7000</v>
      </c>
      <c r="F915" s="259">
        <v>12.47899784662413</v>
      </c>
      <c r="G915" s="269">
        <v>579.64599999999996</v>
      </c>
      <c r="H915" s="261" t="s">
        <v>187</v>
      </c>
      <c r="I915" s="261" t="s">
        <v>1864</v>
      </c>
      <c r="J915" s="261" t="s">
        <v>98</v>
      </c>
      <c r="K915" s="277" t="s">
        <v>202</v>
      </c>
      <c r="L915" s="261" t="s">
        <v>155</v>
      </c>
      <c r="M915" s="257"/>
      <c r="N915" s="257"/>
      <c r="O915" s="257"/>
    </row>
    <row r="916" spans="1:15" hidden="1">
      <c r="A916" s="256">
        <v>45799</v>
      </c>
      <c r="B916" s="257" t="s">
        <v>1865</v>
      </c>
      <c r="C916" s="257" t="s">
        <v>313</v>
      </c>
      <c r="D916" s="258" t="s">
        <v>117</v>
      </c>
      <c r="E916" s="259">
        <v>43500</v>
      </c>
      <c r="F916" s="259">
        <v>77.548058046878523</v>
      </c>
      <c r="G916" s="269">
        <v>579.64599999999996</v>
      </c>
      <c r="H916" s="261" t="s">
        <v>187</v>
      </c>
      <c r="I916" s="261" t="s">
        <v>1866</v>
      </c>
      <c r="J916" s="261" t="s">
        <v>98</v>
      </c>
      <c r="K916" s="277" t="s">
        <v>202</v>
      </c>
      <c r="L916" s="261" t="s">
        <v>155</v>
      </c>
      <c r="M916" s="257"/>
      <c r="N916" s="257"/>
      <c r="O916" s="257"/>
    </row>
    <row r="917" spans="1:15" hidden="1">
      <c r="A917" s="256">
        <v>45800</v>
      </c>
      <c r="B917" s="257" t="s">
        <v>1760</v>
      </c>
      <c r="C917" s="257" t="s">
        <v>174</v>
      </c>
      <c r="D917" s="258" t="s">
        <v>117</v>
      </c>
      <c r="E917" s="259">
        <v>10000</v>
      </c>
      <c r="F917" s="259">
        <v>17.827139780891613</v>
      </c>
      <c r="G917" s="269">
        <v>579.64599999999996</v>
      </c>
      <c r="H917" s="261" t="s">
        <v>190</v>
      </c>
      <c r="I917" s="261" t="s">
        <v>1761</v>
      </c>
      <c r="J917" s="261" t="s">
        <v>98</v>
      </c>
      <c r="K917" s="277" t="s">
        <v>202</v>
      </c>
      <c r="L917" s="261" t="s">
        <v>155</v>
      </c>
      <c r="M917" s="257"/>
      <c r="N917" s="257"/>
      <c r="O917" s="257"/>
    </row>
    <row r="918" spans="1:15" hidden="1">
      <c r="A918" s="256">
        <v>45800</v>
      </c>
      <c r="B918" s="257" t="s">
        <v>1540</v>
      </c>
      <c r="C918" s="264" t="s">
        <v>2086</v>
      </c>
      <c r="D918" s="257" t="s">
        <v>118</v>
      </c>
      <c r="E918" s="259">
        <v>42960</v>
      </c>
      <c r="F918" s="259">
        <v>76.585392498710377</v>
      </c>
      <c r="G918" s="269">
        <v>579.64599999999996</v>
      </c>
      <c r="H918" s="261" t="s">
        <v>583</v>
      </c>
      <c r="I918" s="261" t="s">
        <v>1730</v>
      </c>
      <c r="J918" s="261" t="s">
        <v>98</v>
      </c>
      <c r="K918" s="277" t="s">
        <v>202</v>
      </c>
      <c r="L918" s="261" t="s">
        <v>155</v>
      </c>
      <c r="M918" s="257"/>
      <c r="N918" s="257"/>
      <c r="O918" s="257"/>
    </row>
    <row r="919" spans="1:15" hidden="1">
      <c r="A919" s="256">
        <v>45800</v>
      </c>
      <c r="B919" s="257" t="s">
        <v>1546</v>
      </c>
      <c r="C919" s="264" t="s">
        <v>2086</v>
      </c>
      <c r="D919" s="257" t="s">
        <v>118</v>
      </c>
      <c r="E919" s="259">
        <v>4750</v>
      </c>
      <c r="F919" s="259">
        <v>8.4678913959235178</v>
      </c>
      <c r="G919" s="269">
        <v>579.64599999999996</v>
      </c>
      <c r="H919" s="261" t="s">
        <v>583</v>
      </c>
      <c r="I919" s="261" t="s">
        <v>1731</v>
      </c>
      <c r="J919" s="261" t="s">
        <v>98</v>
      </c>
      <c r="K919" s="277" t="s">
        <v>202</v>
      </c>
      <c r="L919" s="261" t="s">
        <v>155</v>
      </c>
      <c r="M919" s="257"/>
      <c r="N919" s="257"/>
      <c r="O919" s="257"/>
    </row>
    <row r="920" spans="1:15" hidden="1">
      <c r="A920" s="256">
        <v>45800</v>
      </c>
      <c r="B920" s="257" t="s">
        <v>3076</v>
      </c>
      <c r="C920" s="257" t="s">
        <v>174</v>
      </c>
      <c r="D920" s="258" t="s">
        <v>442</v>
      </c>
      <c r="E920" s="259">
        <v>10000</v>
      </c>
      <c r="F920" s="259">
        <v>17.827139780891613</v>
      </c>
      <c r="G920" s="269">
        <v>579.64599999999996</v>
      </c>
      <c r="H920" s="261" t="s">
        <v>184</v>
      </c>
      <c r="I920" s="262" t="s">
        <v>1616</v>
      </c>
      <c r="J920" s="261" t="s">
        <v>98</v>
      </c>
      <c r="K920" s="277" t="s">
        <v>202</v>
      </c>
      <c r="L920" s="261" t="s">
        <v>155</v>
      </c>
      <c r="M920" s="257"/>
      <c r="N920" s="257"/>
      <c r="O920" s="257"/>
    </row>
    <row r="921" spans="1:15" hidden="1">
      <c r="A921" s="256">
        <v>45800</v>
      </c>
      <c r="B921" s="257" t="s">
        <v>3076</v>
      </c>
      <c r="C921" s="257" t="s">
        <v>174</v>
      </c>
      <c r="D921" s="258" t="s">
        <v>442</v>
      </c>
      <c r="E921" s="259">
        <v>10000</v>
      </c>
      <c r="F921" s="259">
        <v>17.827139780891613</v>
      </c>
      <c r="G921" s="269">
        <v>579.64599999999996</v>
      </c>
      <c r="H921" s="261" t="s">
        <v>184</v>
      </c>
      <c r="I921" s="262" t="s">
        <v>1617</v>
      </c>
      <c r="J921" s="261" t="s">
        <v>98</v>
      </c>
      <c r="K921" s="277" t="s">
        <v>202</v>
      </c>
      <c r="L921" s="261" t="s">
        <v>155</v>
      </c>
      <c r="M921" s="257"/>
      <c r="N921" s="257"/>
      <c r="O921" s="257"/>
    </row>
    <row r="922" spans="1:15" hidden="1">
      <c r="A922" s="256">
        <v>45800</v>
      </c>
      <c r="B922" s="257" t="s">
        <v>2990</v>
      </c>
      <c r="C922" s="257" t="s">
        <v>174</v>
      </c>
      <c r="D922" s="258" t="s">
        <v>442</v>
      </c>
      <c r="E922" s="259">
        <v>10000</v>
      </c>
      <c r="F922" s="259">
        <v>17.827139780891613</v>
      </c>
      <c r="G922" s="269">
        <v>579.64599999999996</v>
      </c>
      <c r="H922" s="261" t="s">
        <v>175</v>
      </c>
      <c r="I922" s="261" t="s">
        <v>1650</v>
      </c>
      <c r="J922" s="261" t="s">
        <v>98</v>
      </c>
      <c r="K922" s="277" t="s">
        <v>202</v>
      </c>
      <c r="L922" s="261" t="s">
        <v>155</v>
      </c>
      <c r="M922" s="257"/>
      <c r="N922" s="257"/>
      <c r="O922" s="257"/>
    </row>
    <row r="923" spans="1:15" hidden="1">
      <c r="A923" s="256">
        <v>45800</v>
      </c>
      <c r="B923" s="257" t="s">
        <v>3229</v>
      </c>
      <c r="C923" s="257" t="s">
        <v>174</v>
      </c>
      <c r="D923" s="258" t="s">
        <v>442</v>
      </c>
      <c r="E923" s="259">
        <v>10000</v>
      </c>
      <c r="F923" s="259">
        <v>17.827139780891613</v>
      </c>
      <c r="G923" s="269">
        <v>579.64599999999996</v>
      </c>
      <c r="H923" s="261" t="s">
        <v>175</v>
      </c>
      <c r="I923" s="261" t="s">
        <v>1651</v>
      </c>
      <c r="J923" s="261" t="s">
        <v>98</v>
      </c>
      <c r="K923" s="277" t="s">
        <v>202</v>
      </c>
      <c r="L923" s="261" t="s">
        <v>155</v>
      </c>
      <c r="M923" s="257"/>
      <c r="N923" s="257"/>
      <c r="O923" s="257"/>
    </row>
    <row r="924" spans="1:15" hidden="1">
      <c r="A924" s="256">
        <v>45800</v>
      </c>
      <c r="B924" s="257" t="s">
        <v>3232</v>
      </c>
      <c r="C924" s="263" t="s">
        <v>177</v>
      </c>
      <c r="D924" s="258" t="s">
        <v>442</v>
      </c>
      <c r="E924" s="259">
        <v>30000</v>
      </c>
      <c r="F924" s="259">
        <v>53.481419342674847</v>
      </c>
      <c r="G924" s="269">
        <v>579.64599999999996</v>
      </c>
      <c r="H924" s="261" t="s">
        <v>323</v>
      </c>
      <c r="I924" s="261" t="s">
        <v>1677</v>
      </c>
      <c r="J924" s="261" t="s">
        <v>98</v>
      </c>
      <c r="K924" s="277" t="s">
        <v>202</v>
      </c>
      <c r="L924" s="261" t="s">
        <v>155</v>
      </c>
      <c r="M924" s="257"/>
      <c r="N924" s="257"/>
      <c r="O924" s="257"/>
    </row>
    <row r="925" spans="1:15" hidden="1">
      <c r="A925" s="256">
        <v>45800</v>
      </c>
      <c r="B925" s="257" t="s">
        <v>1764</v>
      </c>
      <c r="C925" s="263" t="s">
        <v>177</v>
      </c>
      <c r="D925" s="258" t="s">
        <v>117</v>
      </c>
      <c r="E925" s="259">
        <v>30000</v>
      </c>
      <c r="F925" s="259">
        <v>53.481419342674847</v>
      </c>
      <c r="G925" s="269">
        <v>579.64599999999996</v>
      </c>
      <c r="H925" s="261" t="s">
        <v>190</v>
      </c>
      <c r="I925" s="261" t="s">
        <v>1752</v>
      </c>
      <c r="J925" s="261" t="s">
        <v>98</v>
      </c>
      <c r="K925" s="277" t="s">
        <v>202</v>
      </c>
      <c r="L925" s="261" t="s">
        <v>155</v>
      </c>
      <c r="M925" s="257"/>
      <c r="N925" s="257"/>
      <c r="O925" s="257"/>
    </row>
    <row r="926" spans="1:15" hidden="1">
      <c r="A926" s="256">
        <v>45800</v>
      </c>
      <c r="B926" s="257" t="s">
        <v>1786</v>
      </c>
      <c r="C926" s="263" t="s">
        <v>177</v>
      </c>
      <c r="D926" s="258" t="s">
        <v>117</v>
      </c>
      <c r="E926" s="259">
        <v>30000</v>
      </c>
      <c r="F926" s="259">
        <v>53.481419342674847</v>
      </c>
      <c r="G926" s="269">
        <v>579.64599999999996</v>
      </c>
      <c r="H926" s="261" t="s">
        <v>193</v>
      </c>
      <c r="I926" s="261" t="s">
        <v>1787</v>
      </c>
      <c r="J926" s="261" t="s">
        <v>98</v>
      </c>
      <c r="K926" s="277" t="s">
        <v>202</v>
      </c>
      <c r="L926" s="261" t="s">
        <v>155</v>
      </c>
      <c r="M926" s="257"/>
      <c r="N926" s="257"/>
      <c r="O926" s="257"/>
    </row>
    <row r="927" spans="1:15" hidden="1">
      <c r="A927" s="256">
        <v>45800</v>
      </c>
      <c r="B927" s="257" t="s">
        <v>1355</v>
      </c>
      <c r="C927" s="257" t="s">
        <v>174</v>
      </c>
      <c r="D927" s="258" t="s">
        <v>117</v>
      </c>
      <c r="E927" s="259">
        <v>5000</v>
      </c>
      <c r="F927" s="259">
        <v>8.9135698904458067</v>
      </c>
      <c r="G927" s="269">
        <v>579.64599999999996</v>
      </c>
      <c r="H927" s="261" t="s">
        <v>193</v>
      </c>
      <c r="I927" s="261" t="s">
        <v>1788</v>
      </c>
      <c r="J927" s="261" t="s">
        <v>98</v>
      </c>
      <c r="K927" s="277" t="s">
        <v>202</v>
      </c>
      <c r="L927" s="261" t="s">
        <v>155</v>
      </c>
      <c r="M927" s="257"/>
      <c r="N927" s="257"/>
      <c r="O927" s="257"/>
    </row>
    <row r="928" spans="1:15" hidden="1">
      <c r="A928" s="256">
        <v>45800</v>
      </c>
      <c r="B928" s="257" t="s">
        <v>1789</v>
      </c>
      <c r="C928" s="257" t="s">
        <v>174</v>
      </c>
      <c r="D928" s="258" t="s">
        <v>117</v>
      </c>
      <c r="E928" s="259">
        <v>7000</v>
      </c>
      <c r="F928" s="259">
        <v>12.47899784662413</v>
      </c>
      <c r="G928" s="269">
        <v>579.64599999999996</v>
      </c>
      <c r="H928" s="261" t="s">
        <v>193</v>
      </c>
      <c r="I928" s="261" t="s">
        <v>1790</v>
      </c>
      <c r="J928" s="261" t="s">
        <v>98</v>
      </c>
      <c r="K928" s="277" t="s">
        <v>202</v>
      </c>
      <c r="L928" s="261" t="s">
        <v>155</v>
      </c>
      <c r="M928" s="257"/>
      <c r="N928" s="257"/>
      <c r="O928" s="257"/>
    </row>
    <row r="929" spans="1:15" hidden="1">
      <c r="A929" s="256">
        <v>45800</v>
      </c>
      <c r="B929" s="257" t="s">
        <v>1828</v>
      </c>
      <c r="C929" s="263" t="s">
        <v>177</v>
      </c>
      <c r="D929" s="257" t="s">
        <v>120</v>
      </c>
      <c r="E929" s="259">
        <v>15000</v>
      </c>
      <c r="F929" s="259">
        <v>26.740709671337424</v>
      </c>
      <c r="G929" s="269">
        <v>579.64599999999996</v>
      </c>
      <c r="H929" s="261" t="s">
        <v>213</v>
      </c>
      <c r="I929" s="261" t="s">
        <v>1829</v>
      </c>
      <c r="J929" s="261" t="s">
        <v>98</v>
      </c>
      <c r="K929" s="277" t="s">
        <v>202</v>
      </c>
      <c r="L929" s="261" t="s">
        <v>155</v>
      </c>
      <c r="M929" s="257"/>
      <c r="N929" s="257"/>
      <c r="O929" s="257"/>
    </row>
    <row r="930" spans="1:15" hidden="1">
      <c r="A930" s="256">
        <v>45800</v>
      </c>
      <c r="B930" s="257" t="s">
        <v>1867</v>
      </c>
      <c r="C930" s="263" t="s">
        <v>177</v>
      </c>
      <c r="D930" s="258" t="s">
        <v>117</v>
      </c>
      <c r="E930" s="259">
        <v>30000</v>
      </c>
      <c r="F930" s="259">
        <v>53.481419342674847</v>
      </c>
      <c r="G930" s="269">
        <v>579.64599999999996</v>
      </c>
      <c r="H930" s="261" t="s">
        <v>187</v>
      </c>
      <c r="I930" s="261" t="s">
        <v>1868</v>
      </c>
      <c r="J930" s="261" t="s">
        <v>98</v>
      </c>
      <c r="K930" s="277" t="s">
        <v>202</v>
      </c>
      <c r="L930" s="261" t="s">
        <v>155</v>
      </c>
      <c r="M930" s="257"/>
      <c r="N930" s="257"/>
      <c r="O930" s="257"/>
    </row>
    <row r="931" spans="1:15" hidden="1">
      <c r="A931" s="256">
        <v>45801</v>
      </c>
      <c r="B931" s="257" t="s">
        <v>1830</v>
      </c>
      <c r="C931" s="263" t="s">
        <v>177</v>
      </c>
      <c r="D931" s="257" t="s">
        <v>120</v>
      </c>
      <c r="E931" s="259">
        <v>15000</v>
      </c>
      <c r="F931" s="259">
        <v>26.740709671337424</v>
      </c>
      <c r="G931" s="269">
        <v>579.64599999999996</v>
      </c>
      <c r="H931" s="261" t="s">
        <v>213</v>
      </c>
      <c r="I931" s="261" t="s">
        <v>1831</v>
      </c>
      <c r="J931" s="261" t="s">
        <v>98</v>
      </c>
      <c r="K931" s="277" t="s">
        <v>202</v>
      </c>
      <c r="L931" s="261" t="s">
        <v>155</v>
      </c>
      <c r="M931" s="257"/>
      <c r="N931" s="257"/>
      <c r="O931" s="257"/>
    </row>
    <row r="932" spans="1:15" hidden="1">
      <c r="A932" s="256">
        <v>45802</v>
      </c>
      <c r="B932" s="257" t="s">
        <v>1705</v>
      </c>
      <c r="C932" s="263" t="s">
        <v>177</v>
      </c>
      <c r="D932" s="257" t="s">
        <v>2087</v>
      </c>
      <c r="E932" s="259">
        <v>150000</v>
      </c>
      <c r="F932" s="259">
        <v>267.40709671337424</v>
      </c>
      <c r="G932" s="269">
        <v>579.64599999999996</v>
      </c>
      <c r="H932" s="261" t="s">
        <v>200</v>
      </c>
      <c r="I932" s="262" t="s">
        <v>1706</v>
      </c>
      <c r="J932" s="261" t="s">
        <v>98</v>
      </c>
      <c r="K932" s="277" t="s">
        <v>202</v>
      </c>
      <c r="L932" s="261" t="s">
        <v>155</v>
      </c>
      <c r="M932" s="257"/>
      <c r="N932" s="257"/>
      <c r="O932" s="257"/>
    </row>
    <row r="933" spans="1:15" hidden="1">
      <c r="A933" s="256">
        <v>45803</v>
      </c>
      <c r="B933" s="257" t="s">
        <v>1516</v>
      </c>
      <c r="C933" s="257" t="s">
        <v>127</v>
      </c>
      <c r="D933" s="257" t="s">
        <v>119</v>
      </c>
      <c r="E933" s="259">
        <v>1311000</v>
      </c>
      <c r="F933" s="259">
        <v>2337.1380252748909</v>
      </c>
      <c r="G933" s="260">
        <v>560.94248000000005</v>
      </c>
      <c r="H933" s="261" t="s">
        <v>148</v>
      </c>
      <c r="I933" s="261" t="s">
        <v>1879</v>
      </c>
      <c r="J933" s="261" t="s">
        <v>98</v>
      </c>
      <c r="K933" s="274" t="s">
        <v>1902</v>
      </c>
      <c r="L933" s="279" t="s">
        <v>155</v>
      </c>
      <c r="M933" s="257"/>
      <c r="N933" s="257"/>
      <c r="O933" s="257"/>
    </row>
    <row r="934" spans="1:15" hidden="1">
      <c r="A934" s="256">
        <v>45803</v>
      </c>
      <c r="B934" s="257" t="s">
        <v>1517</v>
      </c>
      <c r="C934" s="257" t="s">
        <v>127</v>
      </c>
      <c r="D934" s="257" t="s">
        <v>118</v>
      </c>
      <c r="E934" s="259">
        <v>230000</v>
      </c>
      <c r="F934" s="259">
        <v>410.02421496050715</v>
      </c>
      <c r="G934" s="260">
        <v>560.94248000000005</v>
      </c>
      <c r="H934" s="261" t="s">
        <v>148</v>
      </c>
      <c r="I934" s="261" t="s">
        <v>1880</v>
      </c>
      <c r="J934" s="261" t="s">
        <v>98</v>
      </c>
      <c r="K934" s="274" t="s">
        <v>1902</v>
      </c>
      <c r="L934" s="279" t="s">
        <v>155</v>
      </c>
      <c r="M934" s="257"/>
      <c r="N934" s="257"/>
      <c r="O934" s="257"/>
    </row>
    <row r="935" spans="1:15" hidden="1">
      <c r="A935" s="256">
        <v>45803</v>
      </c>
      <c r="B935" s="257" t="s">
        <v>1518</v>
      </c>
      <c r="C935" s="257" t="s">
        <v>127</v>
      </c>
      <c r="D935" s="258" t="s">
        <v>117</v>
      </c>
      <c r="E935" s="259">
        <v>200000</v>
      </c>
      <c r="F935" s="259">
        <v>356.54279561783233</v>
      </c>
      <c r="G935" s="260">
        <v>560.94248000000005</v>
      </c>
      <c r="H935" s="261" t="s">
        <v>148</v>
      </c>
      <c r="I935" s="261" t="s">
        <v>1881</v>
      </c>
      <c r="J935" s="261" t="s">
        <v>98</v>
      </c>
      <c r="K935" s="274" t="s">
        <v>1902</v>
      </c>
      <c r="L935" s="279" t="s">
        <v>155</v>
      </c>
      <c r="M935" s="257"/>
      <c r="N935" s="257"/>
      <c r="O935" s="257"/>
    </row>
    <row r="936" spans="1:15" hidden="1">
      <c r="A936" s="256">
        <v>45803</v>
      </c>
      <c r="B936" s="257" t="s">
        <v>1519</v>
      </c>
      <c r="C936" s="257" t="s">
        <v>127</v>
      </c>
      <c r="D936" s="258" t="s">
        <v>117</v>
      </c>
      <c r="E936" s="259">
        <v>200000</v>
      </c>
      <c r="F936" s="259">
        <v>356.54279561783233</v>
      </c>
      <c r="G936" s="260">
        <v>560.94248000000005</v>
      </c>
      <c r="H936" s="261" t="s">
        <v>148</v>
      </c>
      <c r="I936" s="261" t="s">
        <v>1882</v>
      </c>
      <c r="J936" s="261" t="s">
        <v>98</v>
      </c>
      <c r="K936" s="274" t="s">
        <v>1902</v>
      </c>
      <c r="L936" s="279" t="s">
        <v>155</v>
      </c>
      <c r="M936" s="257"/>
      <c r="N936" s="257"/>
      <c r="O936" s="257"/>
    </row>
    <row r="937" spans="1:15" hidden="1">
      <c r="A937" s="256">
        <v>45803</v>
      </c>
      <c r="B937" s="257" t="s">
        <v>1520</v>
      </c>
      <c r="C937" s="257" t="s">
        <v>127</v>
      </c>
      <c r="D937" s="258" t="s">
        <v>117</v>
      </c>
      <c r="E937" s="259">
        <v>200000</v>
      </c>
      <c r="F937" s="259">
        <v>356.54279561783233</v>
      </c>
      <c r="G937" s="260">
        <v>560.94248000000005</v>
      </c>
      <c r="H937" s="261" t="s">
        <v>148</v>
      </c>
      <c r="I937" s="261" t="s">
        <v>1883</v>
      </c>
      <c r="J937" s="261" t="s">
        <v>98</v>
      </c>
      <c r="K937" s="274" t="s">
        <v>1902</v>
      </c>
      <c r="L937" s="279" t="s">
        <v>155</v>
      </c>
      <c r="M937" s="257"/>
      <c r="N937" s="257"/>
      <c r="O937" s="257"/>
    </row>
    <row r="938" spans="1:15" hidden="1">
      <c r="A938" s="256">
        <v>45803</v>
      </c>
      <c r="B938" s="257" t="s">
        <v>1521</v>
      </c>
      <c r="C938" s="257" t="s">
        <v>127</v>
      </c>
      <c r="D938" s="258" t="s">
        <v>117</v>
      </c>
      <c r="E938" s="259">
        <v>551482</v>
      </c>
      <c r="F938" s="259">
        <v>983.13467006456699</v>
      </c>
      <c r="G938" s="260">
        <v>560.94248000000005</v>
      </c>
      <c r="H938" s="261" t="s">
        <v>148</v>
      </c>
      <c r="I938" s="261" t="s">
        <v>1884</v>
      </c>
      <c r="J938" s="261" t="s">
        <v>98</v>
      </c>
      <c r="K938" s="274" t="s">
        <v>1902</v>
      </c>
      <c r="L938" s="279" t="s">
        <v>155</v>
      </c>
      <c r="M938" s="257"/>
      <c r="N938" s="257"/>
      <c r="O938" s="257"/>
    </row>
    <row r="939" spans="1:15" hidden="1">
      <c r="A939" s="256">
        <v>45803</v>
      </c>
      <c r="B939" s="257" t="s">
        <v>1522</v>
      </c>
      <c r="C939" s="257" t="s">
        <v>127</v>
      </c>
      <c r="D939" s="257" t="s">
        <v>120</v>
      </c>
      <c r="E939" s="259">
        <v>89773</v>
      </c>
      <c r="F939" s="259">
        <v>160.03958195499828</v>
      </c>
      <c r="G939" s="260">
        <v>560.94248000000005</v>
      </c>
      <c r="H939" s="261" t="s">
        <v>148</v>
      </c>
      <c r="I939" s="261" t="s">
        <v>1885</v>
      </c>
      <c r="J939" s="261" t="s">
        <v>98</v>
      </c>
      <c r="K939" s="274" t="s">
        <v>1902</v>
      </c>
      <c r="L939" s="279" t="s">
        <v>155</v>
      </c>
      <c r="M939" s="257"/>
      <c r="N939" s="257"/>
      <c r="O939" s="257"/>
    </row>
    <row r="940" spans="1:15" hidden="1">
      <c r="A940" s="256">
        <v>45803</v>
      </c>
      <c r="B940" s="257" t="s">
        <v>1523</v>
      </c>
      <c r="C940" s="257" t="s">
        <v>127</v>
      </c>
      <c r="D940" s="258" t="s">
        <v>117</v>
      </c>
      <c r="E940" s="259">
        <v>300000</v>
      </c>
      <c r="F940" s="259">
        <v>534.81419342674849</v>
      </c>
      <c r="G940" s="260">
        <v>560.94248000000005</v>
      </c>
      <c r="H940" s="261" t="s">
        <v>148</v>
      </c>
      <c r="I940" s="261" t="s">
        <v>1886</v>
      </c>
      <c r="J940" s="261" t="s">
        <v>98</v>
      </c>
      <c r="K940" s="274" t="s">
        <v>1902</v>
      </c>
      <c r="L940" s="279" t="s">
        <v>155</v>
      </c>
      <c r="M940" s="257"/>
      <c r="N940" s="257"/>
      <c r="O940" s="257"/>
    </row>
    <row r="941" spans="1:15" hidden="1">
      <c r="A941" s="256">
        <v>45803</v>
      </c>
      <c r="B941" s="257" t="s">
        <v>1548</v>
      </c>
      <c r="C941" s="263" t="s">
        <v>1163</v>
      </c>
      <c r="D941" s="257" t="s">
        <v>118</v>
      </c>
      <c r="E941" s="259">
        <v>300000</v>
      </c>
      <c r="F941" s="259">
        <v>534.81419342674849</v>
      </c>
      <c r="G941" s="269">
        <v>579.64599999999996</v>
      </c>
      <c r="H941" s="261" t="s">
        <v>583</v>
      </c>
      <c r="I941" s="261" t="s">
        <v>1732</v>
      </c>
      <c r="J941" s="261" t="s">
        <v>98</v>
      </c>
      <c r="K941" s="277" t="s">
        <v>202</v>
      </c>
      <c r="L941" s="261" t="s">
        <v>155</v>
      </c>
      <c r="M941" s="257"/>
      <c r="N941" s="257"/>
      <c r="O941" s="257"/>
    </row>
    <row r="942" spans="1:15" hidden="1">
      <c r="A942" s="256">
        <v>45803</v>
      </c>
      <c r="B942" s="257" t="s">
        <v>3026</v>
      </c>
      <c r="C942" s="263" t="s">
        <v>177</v>
      </c>
      <c r="D942" s="258" t="s">
        <v>442</v>
      </c>
      <c r="E942" s="259">
        <v>150000</v>
      </c>
      <c r="F942" s="259">
        <v>267.40709671337424</v>
      </c>
      <c r="G942" s="269">
        <v>579.64599999999996</v>
      </c>
      <c r="H942" s="261" t="s">
        <v>184</v>
      </c>
      <c r="I942" s="262" t="s">
        <v>1618</v>
      </c>
      <c r="J942" s="261" t="s">
        <v>98</v>
      </c>
      <c r="K942" s="277" t="s">
        <v>202</v>
      </c>
      <c r="L942" s="261" t="s">
        <v>155</v>
      </c>
      <c r="M942" s="257"/>
      <c r="N942" s="257"/>
      <c r="O942" s="257"/>
    </row>
    <row r="943" spans="1:15" hidden="1">
      <c r="A943" s="256">
        <v>45803</v>
      </c>
      <c r="B943" s="257" t="s">
        <v>1619</v>
      </c>
      <c r="C943" s="257" t="s">
        <v>174</v>
      </c>
      <c r="D943" s="258" t="s">
        <v>442</v>
      </c>
      <c r="E943" s="259">
        <v>94900</v>
      </c>
      <c r="F943" s="259">
        <v>169.17955652066144</v>
      </c>
      <c r="G943" s="269">
        <v>579.64599999999996</v>
      </c>
      <c r="H943" s="261" t="s">
        <v>184</v>
      </c>
      <c r="I943" s="262" t="s">
        <v>1620</v>
      </c>
      <c r="J943" s="261" t="s">
        <v>98</v>
      </c>
      <c r="K943" s="277" t="s">
        <v>202</v>
      </c>
      <c r="L943" s="261" t="s">
        <v>155</v>
      </c>
      <c r="M943" s="257"/>
      <c r="N943" s="257"/>
      <c r="O943" s="257"/>
    </row>
    <row r="944" spans="1:15" hidden="1">
      <c r="A944" s="256">
        <v>45803</v>
      </c>
      <c r="B944" s="257" t="s">
        <v>3155</v>
      </c>
      <c r="C944" s="263" t="s">
        <v>177</v>
      </c>
      <c r="D944" s="258" t="s">
        <v>442</v>
      </c>
      <c r="E944" s="259">
        <v>60000</v>
      </c>
      <c r="F944" s="259">
        <v>106.96283868534969</v>
      </c>
      <c r="G944" s="269">
        <v>579.64599999999996</v>
      </c>
      <c r="H944" s="261" t="s">
        <v>317</v>
      </c>
      <c r="I944" s="261" t="s">
        <v>1591</v>
      </c>
      <c r="J944" s="261" t="s">
        <v>98</v>
      </c>
      <c r="K944" s="277" t="s">
        <v>202</v>
      </c>
      <c r="L944" s="261" t="s">
        <v>155</v>
      </c>
      <c r="M944" s="257"/>
      <c r="N944" s="257"/>
      <c r="O944" s="257"/>
    </row>
    <row r="945" spans="1:15" hidden="1">
      <c r="A945" s="256">
        <v>45803</v>
      </c>
      <c r="B945" s="257" t="s">
        <v>3064</v>
      </c>
      <c r="C945" s="257" t="s">
        <v>174</v>
      </c>
      <c r="D945" s="258" t="s">
        <v>442</v>
      </c>
      <c r="E945" s="259">
        <v>5000</v>
      </c>
      <c r="F945" s="259">
        <v>8.9135698904458067</v>
      </c>
      <c r="G945" s="269">
        <v>579.64599999999996</v>
      </c>
      <c r="H945" s="261" t="s">
        <v>317</v>
      </c>
      <c r="I945" s="261" t="s">
        <v>1592</v>
      </c>
      <c r="J945" s="261" t="s">
        <v>98</v>
      </c>
      <c r="K945" s="277" t="s">
        <v>202</v>
      </c>
      <c r="L945" s="261" t="s">
        <v>155</v>
      </c>
      <c r="M945" s="257"/>
      <c r="N945" s="257"/>
      <c r="O945" s="257"/>
    </row>
    <row r="946" spans="1:15" hidden="1">
      <c r="A946" s="256">
        <v>45803</v>
      </c>
      <c r="B946" s="257" t="s">
        <v>1593</v>
      </c>
      <c r="C946" s="257" t="s">
        <v>365</v>
      </c>
      <c r="D946" s="258" t="s">
        <v>442</v>
      </c>
      <c r="E946" s="259">
        <v>12000</v>
      </c>
      <c r="F946" s="259">
        <v>21.392567737069939</v>
      </c>
      <c r="G946" s="269">
        <v>579.64599999999996</v>
      </c>
      <c r="H946" s="261" t="s">
        <v>317</v>
      </c>
      <c r="I946" s="261" t="s">
        <v>1594</v>
      </c>
      <c r="J946" s="261" t="s">
        <v>98</v>
      </c>
      <c r="K946" s="277" t="s">
        <v>202</v>
      </c>
      <c r="L946" s="261" t="s">
        <v>155</v>
      </c>
      <c r="M946" s="257"/>
      <c r="N946" s="257"/>
      <c r="O946" s="257"/>
    </row>
    <row r="947" spans="1:15" hidden="1">
      <c r="A947" s="256">
        <v>45803</v>
      </c>
      <c r="B947" s="257" t="s">
        <v>1547</v>
      </c>
      <c r="C947" s="264" t="s">
        <v>2086</v>
      </c>
      <c r="D947" s="257" t="s">
        <v>118</v>
      </c>
      <c r="E947" s="259">
        <v>3800</v>
      </c>
      <c r="F947" s="259">
        <v>6.7743131167388135</v>
      </c>
      <c r="G947" s="269">
        <v>579.64599999999996</v>
      </c>
      <c r="H947" s="261" t="s">
        <v>190</v>
      </c>
      <c r="I947" s="261" t="s">
        <v>1749</v>
      </c>
      <c r="J947" s="261" t="s">
        <v>98</v>
      </c>
      <c r="K947" s="277" t="s">
        <v>202</v>
      </c>
      <c r="L947" s="261" t="s">
        <v>155</v>
      </c>
      <c r="M947" s="257"/>
      <c r="N947" s="257"/>
      <c r="O947" s="257"/>
    </row>
    <row r="948" spans="1:15" hidden="1">
      <c r="A948" s="256">
        <v>45803</v>
      </c>
      <c r="B948" s="257" t="s">
        <v>1809</v>
      </c>
      <c r="C948" s="257" t="s">
        <v>1810</v>
      </c>
      <c r="D948" s="258" t="s">
        <v>117</v>
      </c>
      <c r="E948" s="259">
        <v>1400</v>
      </c>
      <c r="F948" s="259">
        <v>2.4957995693248263</v>
      </c>
      <c r="G948" s="269">
        <v>579.64599999999996</v>
      </c>
      <c r="H948" s="261" t="s">
        <v>437</v>
      </c>
      <c r="I948" s="261" t="s">
        <v>1811</v>
      </c>
      <c r="J948" s="261" t="s">
        <v>98</v>
      </c>
      <c r="K948" s="277" t="s">
        <v>202</v>
      </c>
      <c r="L948" s="261" t="s">
        <v>155</v>
      </c>
      <c r="M948" s="257"/>
      <c r="N948" s="257"/>
      <c r="O948" s="257"/>
    </row>
    <row r="949" spans="1:15" hidden="1">
      <c r="A949" s="256">
        <v>45803</v>
      </c>
      <c r="B949" s="257" t="s">
        <v>1549</v>
      </c>
      <c r="C949" s="263" t="s">
        <v>1163</v>
      </c>
      <c r="D949" s="257" t="s">
        <v>118</v>
      </c>
      <c r="E949" s="259">
        <v>20000</v>
      </c>
      <c r="F949" s="259">
        <v>35.654279561783227</v>
      </c>
      <c r="G949" s="269">
        <v>579.64599999999996</v>
      </c>
      <c r="H949" s="261" t="s">
        <v>187</v>
      </c>
      <c r="I949" s="261" t="s">
        <v>1771</v>
      </c>
      <c r="J949" s="261" t="s">
        <v>98</v>
      </c>
      <c r="K949" s="277" t="s">
        <v>202</v>
      </c>
      <c r="L949" s="261" t="s">
        <v>155</v>
      </c>
      <c r="M949" s="257"/>
      <c r="N949" s="257"/>
      <c r="O949" s="257"/>
    </row>
    <row r="950" spans="1:15" hidden="1">
      <c r="A950" s="256">
        <v>45804</v>
      </c>
      <c r="B950" s="257" t="s">
        <v>1707</v>
      </c>
      <c r="C950" s="263" t="s">
        <v>177</v>
      </c>
      <c r="D950" s="257" t="s">
        <v>2087</v>
      </c>
      <c r="E950" s="259">
        <v>10000</v>
      </c>
      <c r="F950" s="259">
        <v>17.827139780891613</v>
      </c>
      <c r="G950" s="269">
        <v>579.64599999999996</v>
      </c>
      <c r="H950" s="261" t="s">
        <v>200</v>
      </c>
      <c r="I950" s="262" t="s">
        <v>1708</v>
      </c>
      <c r="J950" s="261" t="s">
        <v>98</v>
      </c>
      <c r="K950" s="277" t="s">
        <v>202</v>
      </c>
      <c r="L950" s="261" t="s">
        <v>155</v>
      </c>
      <c r="M950" s="257"/>
      <c r="N950" s="257"/>
      <c r="O950" s="257"/>
    </row>
    <row r="951" spans="1:15" hidden="1">
      <c r="A951" s="256">
        <v>45804</v>
      </c>
      <c r="B951" s="257" t="s">
        <v>1709</v>
      </c>
      <c r="C951" s="263" t="s">
        <v>177</v>
      </c>
      <c r="D951" s="257" t="s">
        <v>2087</v>
      </c>
      <c r="E951" s="259">
        <v>15000</v>
      </c>
      <c r="F951" s="259">
        <v>26.740709671337424</v>
      </c>
      <c r="G951" s="269">
        <v>579.64599999999996</v>
      </c>
      <c r="H951" s="261" t="s">
        <v>200</v>
      </c>
      <c r="I951" s="262" t="s">
        <v>1710</v>
      </c>
      <c r="J951" s="261" t="s">
        <v>98</v>
      </c>
      <c r="K951" s="277" t="s">
        <v>202</v>
      </c>
      <c r="L951" s="261" t="s">
        <v>155</v>
      </c>
      <c r="M951" s="257"/>
      <c r="N951" s="257"/>
      <c r="O951" s="257"/>
    </row>
    <row r="952" spans="1:15" hidden="1">
      <c r="A952" s="256">
        <v>45804</v>
      </c>
      <c r="B952" s="257" t="s">
        <v>1711</v>
      </c>
      <c r="C952" s="263" t="s">
        <v>177</v>
      </c>
      <c r="D952" s="257" t="s">
        <v>2087</v>
      </c>
      <c r="E952" s="259">
        <v>13000</v>
      </c>
      <c r="F952" s="259">
        <v>23.175281715159098</v>
      </c>
      <c r="G952" s="269">
        <v>579.64599999999996</v>
      </c>
      <c r="H952" s="261" t="s">
        <v>200</v>
      </c>
      <c r="I952" s="262" t="s">
        <v>1712</v>
      </c>
      <c r="J952" s="261" t="s">
        <v>98</v>
      </c>
      <c r="K952" s="277" t="s">
        <v>202</v>
      </c>
      <c r="L952" s="261" t="s">
        <v>155</v>
      </c>
      <c r="M952" s="257"/>
      <c r="N952" s="257"/>
      <c r="O952" s="257"/>
    </row>
    <row r="953" spans="1:15" hidden="1">
      <c r="A953" s="256">
        <v>45804</v>
      </c>
      <c r="B953" s="257" t="s">
        <v>1713</v>
      </c>
      <c r="C953" s="257" t="s">
        <v>174</v>
      </c>
      <c r="D953" s="257" t="s">
        <v>2087</v>
      </c>
      <c r="E953" s="259">
        <v>100000</v>
      </c>
      <c r="F953" s="259">
        <v>178.27139780891616</v>
      </c>
      <c r="G953" s="269">
        <v>579.64599999999996</v>
      </c>
      <c r="H953" s="261" t="s">
        <v>200</v>
      </c>
      <c r="I953" s="262" t="s">
        <v>1708</v>
      </c>
      <c r="J953" s="261" t="s">
        <v>98</v>
      </c>
      <c r="K953" s="277" t="s">
        <v>202</v>
      </c>
      <c r="L953" s="261" t="s">
        <v>155</v>
      </c>
      <c r="M953" s="257"/>
      <c r="N953" s="257"/>
      <c r="O953" s="257"/>
    </row>
    <row r="954" spans="1:15" hidden="1">
      <c r="A954" s="256">
        <v>45804</v>
      </c>
      <c r="B954" s="257" t="s">
        <v>1714</v>
      </c>
      <c r="C954" s="263" t="s">
        <v>177</v>
      </c>
      <c r="D954" s="257" t="s">
        <v>2087</v>
      </c>
      <c r="E954" s="259">
        <v>15000</v>
      </c>
      <c r="F954" s="259">
        <v>26.740709671337424</v>
      </c>
      <c r="G954" s="269">
        <v>579.64599999999996</v>
      </c>
      <c r="H954" s="261" t="s">
        <v>200</v>
      </c>
      <c r="I954" s="262" t="s">
        <v>1710</v>
      </c>
      <c r="J954" s="261" t="s">
        <v>98</v>
      </c>
      <c r="K954" s="277" t="s">
        <v>202</v>
      </c>
      <c r="L954" s="261" t="s">
        <v>155</v>
      </c>
      <c r="M954" s="257"/>
      <c r="N954" s="257"/>
      <c r="O954" s="257"/>
    </row>
    <row r="955" spans="1:15" hidden="1">
      <c r="A955" s="256">
        <v>45804</v>
      </c>
      <c r="B955" s="257" t="s">
        <v>1550</v>
      </c>
      <c r="C955" s="264" t="s">
        <v>2086</v>
      </c>
      <c r="D955" s="257" t="s">
        <v>118</v>
      </c>
      <c r="E955" s="259">
        <v>2625</v>
      </c>
      <c r="F955" s="259">
        <v>4.6796241924840487</v>
      </c>
      <c r="G955" s="269">
        <v>579.64599999999996</v>
      </c>
      <c r="H955" s="261" t="s">
        <v>583</v>
      </c>
      <c r="I955" s="261" t="s">
        <v>1733</v>
      </c>
      <c r="J955" s="261" t="s">
        <v>98</v>
      </c>
      <c r="K955" s="277" t="s">
        <v>202</v>
      </c>
      <c r="L955" s="261" t="s">
        <v>155</v>
      </c>
      <c r="M955" s="257"/>
      <c r="N955" s="257"/>
      <c r="O955" s="257"/>
    </row>
    <row r="956" spans="1:15" hidden="1">
      <c r="A956" s="256">
        <v>45804</v>
      </c>
      <c r="B956" s="257" t="s">
        <v>1551</v>
      </c>
      <c r="C956" s="257" t="s">
        <v>304</v>
      </c>
      <c r="D956" s="257" t="s">
        <v>118</v>
      </c>
      <c r="E956" s="259">
        <v>20000</v>
      </c>
      <c r="F956" s="259">
        <v>35.654279561783227</v>
      </c>
      <c r="G956" s="269">
        <v>579.64599999999996</v>
      </c>
      <c r="H956" s="261" t="s">
        <v>583</v>
      </c>
      <c r="I956" s="261" t="s">
        <v>1734</v>
      </c>
      <c r="J956" s="261" t="s">
        <v>98</v>
      </c>
      <c r="K956" s="277" t="s">
        <v>202</v>
      </c>
      <c r="L956" s="261" t="s">
        <v>155</v>
      </c>
      <c r="M956" s="257"/>
      <c r="N956" s="257"/>
      <c r="O956" s="257"/>
    </row>
    <row r="957" spans="1:15" hidden="1">
      <c r="A957" s="256">
        <v>45804</v>
      </c>
      <c r="B957" s="257" t="s">
        <v>3028</v>
      </c>
      <c r="C957" s="257" t="s">
        <v>174</v>
      </c>
      <c r="D957" s="258" t="s">
        <v>442</v>
      </c>
      <c r="E957" s="259">
        <v>315000</v>
      </c>
      <c r="F957" s="259">
        <v>561.5549030980859</v>
      </c>
      <c r="G957" s="269">
        <v>579.64599999999996</v>
      </c>
      <c r="H957" s="261" t="s">
        <v>184</v>
      </c>
      <c r="I957" s="262" t="s">
        <v>1621</v>
      </c>
      <c r="J957" s="261" t="s">
        <v>98</v>
      </c>
      <c r="K957" s="277" t="s">
        <v>202</v>
      </c>
      <c r="L957" s="261" t="s">
        <v>155</v>
      </c>
      <c r="M957" s="257"/>
      <c r="N957" s="257"/>
      <c r="O957" s="257"/>
    </row>
    <row r="958" spans="1:15" hidden="1">
      <c r="A958" s="256">
        <v>45804</v>
      </c>
      <c r="B958" s="257" t="s">
        <v>1622</v>
      </c>
      <c r="C958" s="257" t="s">
        <v>368</v>
      </c>
      <c r="D958" s="258" t="s">
        <v>442</v>
      </c>
      <c r="E958" s="259">
        <v>64100</v>
      </c>
      <c r="F958" s="259">
        <v>114.27196599551526</v>
      </c>
      <c r="G958" s="269">
        <v>579.64599999999996</v>
      </c>
      <c r="H958" s="261" t="s">
        <v>184</v>
      </c>
      <c r="I958" s="262" t="s">
        <v>1623</v>
      </c>
      <c r="J958" s="261" t="s">
        <v>98</v>
      </c>
      <c r="K958" s="277" t="s">
        <v>202</v>
      </c>
      <c r="L958" s="261" t="s">
        <v>155</v>
      </c>
      <c r="M958" s="257"/>
      <c r="N958" s="257"/>
      <c r="O958" s="257"/>
    </row>
    <row r="959" spans="1:15" hidden="1">
      <c r="A959" s="256">
        <v>45804</v>
      </c>
      <c r="B959" s="257" t="s">
        <v>2992</v>
      </c>
      <c r="C959" s="263" t="s">
        <v>177</v>
      </c>
      <c r="D959" s="258" t="s">
        <v>442</v>
      </c>
      <c r="E959" s="259">
        <v>75000</v>
      </c>
      <c r="F959" s="259">
        <v>133.70354835668712</v>
      </c>
      <c r="G959" s="269">
        <v>579.64599999999996</v>
      </c>
      <c r="H959" s="261" t="s">
        <v>175</v>
      </c>
      <c r="I959" s="261" t="s">
        <v>1652</v>
      </c>
      <c r="J959" s="261" t="s">
        <v>98</v>
      </c>
      <c r="K959" s="277" t="s">
        <v>202</v>
      </c>
      <c r="L959" s="261" t="s">
        <v>155</v>
      </c>
      <c r="M959" s="257"/>
      <c r="N959" s="257"/>
      <c r="O959" s="257"/>
    </row>
    <row r="960" spans="1:15" hidden="1">
      <c r="A960" s="256">
        <v>45804</v>
      </c>
      <c r="B960" s="257" t="s">
        <v>1678</v>
      </c>
      <c r="C960" s="257" t="s">
        <v>368</v>
      </c>
      <c r="D960" s="258" t="s">
        <v>442</v>
      </c>
      <c r="E960" s="259">
        <v>14000</v>
      </c>
      <c r="F960" s="259">
        <v>24.957995693248261</v>
      </c>
      <c r="G960" s="269">
        <v>579.64599999999996</v>
      </c>
      <c r="H960" s="261" t="s">
        <v>323</v>
      </c>
      <c r="I960" s="261" t="s">
        <v>1679</v>
      </c>
      <c r="J960" s="261" t="s">
        <v>98</v>
      </c>
      <c r="K960" s="277" t="s">
        <v>202</v>
      </c>
      <c r="L960" s="261" t="s">
        <v>155</v>
      </c>
      <c r="M960" s="257"/>
      <c r="N960" s="257"/>
      <c r="O960" s="257"/>
    </row>
    <row r="961" spans="1:15" hidden="1">
      <c r="A961" s="256">
        <v>45804</v>
      </c>
      <c r="B961" s="257" t="s">
        <v>1552</v>
      </c>
      <c r="C961" s="263" t="s">
        <v>1553</v>
      </c>
      <c r="D961" s="258" t="s">
        <v>442</v>
      </c>
      <c r="E961" s="259">
        <v>60000</v>
      </c>
      <c r="F961" s="259">
        <v>106.96283868534969</v>
      </c>
      <c r="G961" s="269">
        <v>579.64599999999996</v>
      </c>
      <c r="H961" s="261" t="s">
        <v>193</v>
      </c>
      <c r="I961" s="261" t="s">
        <v>1776</v>
      </c>
      <c r="J961" s="261" t="s">
        <v>98</v>
      </c>
      <c r="K961" s="277" t="s">
        <v>202</v>
      </c>
      <c r="L961" s="261" t="s">
        <v>155</v>
      </c>
      <c r="M961" s="257"/>
      <c r="N961" s="257"/>
      <c r="O961" s="257"/>
    </row>
    <row r="962" spans="1:15" hidden="1">
      <c r="A962" s="256">
        <v>45804</v>
      </c>
      <c r="B962" s="257" t="s">
        <v>1089</v>
      </c>
      <c r="C962" s="257" t="s">
        <v>196</v>
      </c>
      <c r="D962" s="257" t="s">
        <v>2087</v>
      </c>
      <c r="E962" s="259">
        <v>25000</v>
      </c>
      <c r="F962" s="259">
        <v>44.567849452229041</v>
      </c>
      <c r="G962" s="269">
        <v>579.64599999999996</v>
      </c>
      <c r="H962" s="261" t="s">
        <v>437</v>
      </c>
      <c r="I962" s="261" t="s">
        <v>1812</v>
      </c>
      <c r="J962" s="261" t="s">
        <v>98</v>
      </c>
      <c r="K962" s="277" t="s">
        <v>202</v>
      </c>
      <c r="L962" s="261" t="s">
        <v>155</v>
      </c>
      <c r="M962" s="257"/>
      <c r="N962" s="257"/>
      <c r="O962" s="257"/>
    </row>
    <row r="963" spans="1:15" hidden="1">
      <c r="A963" s="256">
        <v>45804</v>
      </c>
      <c r="B963" s="257" t="s">
        <v>1813</v>
      </c>
      <c r="C963" s="263" t="s">
        <v>177</v>
      </c>
      <c r="D963" s="258" t="s">
        <v>117</v>
      </c>
      <c r="E963" s="259">
        <v>25200</v>
      </c>
      <c r="F963" s="259">
        <v>44.924392247846868</v>
      </c>
      <c r="G963" s="269">
        <v>579.64599999999996</v>
      </c>
      <c r="H963" s="261" t="s">
        <v>437</v>
      </c>
      <c r="I963" s="261" t="s">
        <v>1814</v>
      </c>
      <c r="J963" s="261" t="s">
        <v>98</v>
      </c>
      <c r="K963" s="277" t="s">
        <v>202</v>
      </c>
      <c r="L963" s="261" t="s">
        <v>155</v>
      </c>
      <c r="M963" s="257"/>
      <c r="N963" s="257"/>
      <c r="O963" s="257"/>
    </row>
    <row r="964" spans="1:15" hidden="1">
      <c r="A964" s="256">
        <v>45804</v>
      </c>
      <c r="B964" s="257" t="s">
        <v>262</v>
      </c>
      <c r="C964" s="263" t="s">
        <v>177</v>
      </c>
      <c r="D964" s="257" t="s">
        <v>120</v>
      </c>
      <c r="E964" s="259">
        <v>10000</v>
      </c>
      <c r="F964" s="259">
        <v>17.827139780891613</v>
      </c>
      <c r="G964" s="269">
        <v>579.64599999999996</v>
      </c>
      <c r="H964" s="261" t="s">
        <v>213</v>
      </c>
      <c r="I964" s="261" t="s">
        <v>1832</v>
      </c>
      <c r="J964" s="261" t="s">
        <v>98</v>
      </c>
      <c r="K964" s="277" t="s">
        <v>202</v>
      </c>
      <c r="L964" s="261" t="s">
        <v>155</v>
      </c>
      <c r="M964" s="257"/>
      <c r="N964" s="257"/>
      <c r="O964" s="257"/>
    </row>
    <row r="965" spans="1:15" hidden="1">
      <c r="A965" s="256">
        <v>45805</v>
      </c>
      <c r="B965" s="257" t="s">
        <v>1529</v>
      </c>
      <c r="C965" s="257" t="s">
        <v>128</v>
      </c>
      <c r="D965" s="257" t="s">
        <v>118</v>
      </c>
      <c r="E965" s="259">
        <v>15166</v>
      </c>
      <c r="F965" s="259">
        <v>27.036640191700222</v>
      </c>
      <c r="G965" s="269">
        <v>579.64599999999996</v>
      </c>
      <c r="H965" s="261" t="s">
        <v>148</v>
      </c>
      <c r="I965" s="261" t="s">
        <v>1887</v>
      </c>
      <c r="J965" s="261" t="s">
        <v>98</v>
      </c>
      <c r="K965" s="277" t="s">
        <v>202</v>
      </c>
      <c r="L965" s="261" t="s">
        <v>155</v>
      </c>
      <c r="M965" s="257"/>
      <c r="N965" s="257"/>
      <c r="O965" s="257"/>
    </row>
    <row r="966" spans="1:15" hidden="1">
      <c r="A966" s="256">
        <v>45805</v>
      </c>
      <c r="B966" s="257" t="s">
        <v>1530</v>
      </c>
      <c r="C966" s="257" t="s">
        <v>128</v>
      </c>
      <c r="D966" s="257" t="s">
        <v>118</v>
      </c>
      <c r="E966" s="259">
        <v>19783</v>
      </c>
      <c r="F966" s="259">
        <v>35.26743062853788</v>
      </c>
      <c r="G966" s="269">
        <v>579.64599999999996</v>
      </c>
      <c r="H966" s="261" t="s">
        <v>148</v>
      </c>
      <c r="I966" s="261" t="s">
        <v>1888</v>
      </c>
      <c r="J966" s="261" t="s">
        <v>98</v>
      </c>
      <c r="K966" s="277" t="s">
        <v>202</v>
      </c>
      <c r="L966" s="261" t="s">
        <v>155</v>
      </c>
      <c r="M966" s="257"/>
      <c r="N966" s="257"/>
      <c r="O966" s="257"/>
    </row>
    <row r="967" spans="1:15" hidden="1">
      <c r="A967" s="256">
        <v>45805</v>
      </c>
      <c r="B967" s="257" t="s">
        <v>1531</v>
      </c>
      <c r="C967" s="257" t="s">
        <v>128</v>
      </c>
      <c r="D967" s="257" t="s">
        <v>118</v>
      </c>
      <c r="E967" s="259">
        <v>17268</v>
      </c>
      <c r="F967" s="259">
        <v>30.78390497364364</v>
      </c>
      <c r="G967" s="269">
        <v>579.64599999999996</v>
      </c>
      <c r="H967" s="261" t="s">
        <v>148</v>
      </c>
      <c r="I967" s="261" t="s">
        <v>1889</v>
      </c>
      <c r="J967" s="261" t="s">
        <v>98</v>
      </c>
      <c r="K967" s="277" t="s">
        <v>202</v>
      </c>
      <c r="L967" s="261" t="s">
        <v>155</v>
      </c>
      <c r="M967" s="257"/>
      <c r="N967" s="257"/>
      <c r="O967" s="257"/>
    </row>
    <row r="968" spans="1:15" hidden="1">
      <c r="A968" s="256">
        <v>45805</v>
      </c>
      <c r="B968" s="257" t="s">
        <v>1715</v>
      </c>
      <c r="C968" s="263" t="s">
        <v>177</v>
      </c>
      <c r="D968" s="258" t="s">
        <v>117</v>
      </c>
      <c r="E968" s="259">
        <v>160000</v>
      </c>
      <c r="F968" s="259">
        <v>285.23423649426582</v>
      </c>
      <c r="G968" s="269">
        <v>579.64599999999996</v>
      </c>
      <c r="H968" s="261" t="s">
        <v>200</v>
      </c>
      <c r="I968" s="262" t="s">
        <v>1716</v>
      </c>
      <c r="J968" s="261" t="s">
        <v>98</v>
      </c>
      <c r="K968" s="277" t="s">
        <v>202</v>
      </c>
      <c r="L968" s="261" t="s">
        <v>155</v>
      </c>
      <c r="M968" s="257"/>
      <c r="N968" s="257"/>
      <c r="O968" s="257"/>
    </row>
    <row r="969" spans="1:15" hidden="1">
      <c r="A969" s="256">
        <v>45805</v>
      </c>
      <c r="B969" s="257" t="s">
        <v>1717</v>
      </c>
      <c r="C969" s="263" t="s">
        <v>177</v>
      </c>
      <c r="D969" s="258" t="s">
        <v>117</v>
      </c>
      <c r="E969" s="259">
        <v>100000</v>
      </c>
      <c r="F969" s="259">
        <v>178.27139780891616</v>
      </c>
      <c r="G969" s="269">
        <v>579.64599999999996</v>
      </c>
      <c r="H969" s="261" t="s">
        <v>200</v>
      </c>
      <c r="I969" s="262" t="s">
        <v>1718</v>
      </c>
      <c r="J969" s="261" t="s">
        <v>98</v>
      </c>
      <c r="K969" s="277" t="s">
        <v>202</v>
      </c>
      <c r="L969" s="261" t="s">
        <v>155</v>
      </c>
      <c r="M969" s="257"/>
      <c r="N969" s="257"/>
      <c r="O969" s="257"/>
    </row>
    <row r="970" spans="1:15" hidden="1">
      <c r="A970" s="256">
        <v>45805</v>
      </c>
      <c r="B970" s="257" t="s">
        <v>1719</v>
      </c>
      <c r="C970" s="263" t="s">
        <v>177</v>
      </c>
      <c r="D970" s="258" t="s">
        <v>117</v>
      </c>
      <c r="E970" s="259">
        <v>20000</v>
      </c>
      <c r="F970" s="259">
        <v>35.654279561783227</v>
      </c>
      <c r="G970" s="269">
        <v>579.64599999999996</v>
      </c>
      <c r="H970" s="261" t="s">
        <v>200</v>
      </c>
      <c r="I970" s="262" t="s">
        <v>1720</v>
      </c>
      <c r="J970" s="261" t="s">
        <v>98</v>
      </c>
      <c r="K970" s="277" t="s">
        <v>202</v>
      </c>
      <c r="L970" s="261" t="s">
        <v>155</v>
      </c>
      <c r="M970" s="257"/>
      <c r="N970" s="257"/>
      <c r="O970" s="257"/>
    </row>
    <row r="971" spans="1:15" hidden="1">
      <c r="A971" s="256">
        <v>45805</v>
      </c>
      <c r="B971" s="257" t="s">
        <v>1554</v>
      </c>
      <c r="C971" s="257" t="s">
        <v>304</v>
      </c>
      <c r="D971" s="257" t="s">
        <v>118</v>
      </c>
      <c r="E971" s="259">
        <v>75625</v>
      </c>
      <c r="F971" s="259">
        <v>134.81774459299285</v>
      </c>
      <c r="G971" s="269">
        <v>579.64599999999996</v>
      </c>
      <c r="H971" s="261" t="s">
        <v>583</v>
      </c>
      <c r="I971" s="261" t="s">
        <v>1735</v>
      </c>
      <c r="J971" s="261" t="s">
        <v>98</v>
      </c>
      <c r="K971" s="277" t="s">
        <v>202</v>
      </c>
      <c r="L971" s="261" t="s">
        <v>155</v>
      </c>
      <c r="M971" s="257"/>
      <c r="N971" s="257"/>
      <c r="O971" s="257"/>
    </row>
    <row r="972" spans="1:15" hidden="1">
      <c r="A972" s="256">
        <v>45805</v>
      </c>
      <c r="B972" s="257" t="s">
        <v>3026</v>
      </c>
      <c r="C972" s="263" t="s">
        <v>177</v>
      </c>
      <c r="D972" s="258" t="s">
        <v>442</v>
      </c>
      <c r="E972" s="259">
        <v>135000</v>
      </c>
      <c r="F972" s="259">
        <v>240.6663870420368</v>
      </c>
      <c r="G972" s="269">
        <v>579.64599999999996</v>
      </c>
      <c r="H972" s="261" t="s">
        <v>184</v>
      </c>
      <c r="I972" s="262" t="s">
        <v>1624</v>
      </c>
      <c r="J972" s="261" t="s">
        <v>98</v>
      </c>
      <c r="K972" s="277" t="s">
        <v>202</v>
      </c>
      <c r="L972" s="261" t="s">
        <v>155</v>
      </c>
      <c r="M972" s="257"/>
      <c r="N972" s="257"/>
      <c r="O972" s="257"/>
    </row>
    <row r="973" spans="1:15" hidden="1">
      <c r="A973" s="256">
        <v>45805</v>
      </c>
      <c r="B973" s="257" t="s">
        <v>3026</v>
      </c>
      <c r="C973" s="263" t="s">
        <v>177</v>
      </c>
      <c r="D973" s="258" t="s">
        <v>442</v>
      </c>
      <c r="E973" s="259">
        <v>135000</v>
      </c>
      <c r="F973" s="259">
        <v>240.6663870420368</v>
      </c>
      <c r="G973" s="269">
        <v>579.64599999999996</v>
      </c>
      <c r="H973" s="261" t="s">
        <v>184</v>
      </c>
      <c r="I973" s="262" t="s">
        <v>1625</v>
      </c>
      <c r="J973" s="261" t="s">
        <v>98</v>
      </c>
      <c r="K973" s="277" t="s">
        <v>202</v>
      </c>
      <c r="L973" s="261" t="s">
        <v>155</v>
      </c>
      <c r="M973" s="257"/>
      <c r="N973" s="257"/>
      <c r="O973" s="257"/>
    </row>
    <row r="974" spans="1:15" hidden="1">
      <c r="A974" s="256">
        <v>45805</v>
      </c>
      <c r="B974" s="257" t="s">
        <v>3235</v>
      </c>
      <c r="C974" s="263" t="s">
        <v>177</v>
      </c>
      <c r="D974" s="258" t="s">
        <v>442</v>
      </c>
      <c r="E974" s="259">
        <v>30000</v>
      </c>
      <c r="F974" s="259">
        <v>53.481419342674847</v>
      </c>
      <c r="G974" s="269">
        <v>579.64599999999996</v>
      </c>
      <c r="H974" s="261" t="s">
        <v>317</v>
      </c>
      <c r="I974" s="261" t="s">
        <v>1595</v>
      </c>
      <c r="J974" s="261" t="s">
        <v>98</v>
      </c>
      <c r="K974" s="277" t="s">
        <v>202</v>
      </c>
      <c r="L974" s="261" t="s">
        <v>155</v>
      </c>
      <c r="M974" s="257"/>
      <c r="N974" s="257"/>
      <c r="O974" s="257"/>
    </row>
    <row r="975" spans="1:15" hidden="1">
      <c r="A975" s="256">
        <v>45805</v>
      </c>
      <c r="B975" s="257" t="s">
        <v>3066</v>
      </c>
      <c r="C975" s="257" t="s">
        <v>174</v>
      </c>
      <c r="D975" s="258" t="s">
        <v>442</v>
      </c>
      <c r="E975" s="259">
        <v>5000</v>
      </c>
      <c r="F975" s="259">
        <v>8.9135698904458067</v>
      </c>
      <c r="G975" s="269">
        <v>579.64599999999996</v>
      </c>
      <c r="H975" s="261" t="s">
        <v>317</v>
      </c>
      <c r="I975" s="261" t="s">
        <v>1596</v>
      </c>
      <c r="J975" s="261" t="s">
        <v>98</v>
      </c>
      <c r="K975" s="277" t="s">
        <v>202</v>
      </c>
      <c r="L975" s="261" t="s">
        <v>155</v>
      </c>
      <c r="M975" s="257"/>
      <c r="N975" s="257"/>
      <c r="O975" s="257"/>
    </row>
    <row r="976" spans="1:15" hidden="1">
      <c r="A976" s="256">
        <v>45805</v>
      </c>
      <c r="B976" s="257" t="s">
        <v>1680</v>
      </c>
      <c r="C976" s="257" t="s">
        <v>174</v>
      </c>
      <c r="D976" s="258" t="s">
        <v>442</v>
      </c>
      <c r="E976" s="259">
        <v>48500</v>
      </c>
      <c r="F976" s="259">
        <v>86.461627937324337</v>
      </c>
      <c r="G976" s="269">
        <v>579.64599999999996</v>
      </c>
      <c r="H976" s="261" t="s">
        <v>323</v>
      </c>
      <c r="I976" s="261" t="s">
        <v>1681</v>
      </c>
      <c r="J976" s="261" t="s">
        <v>98</v>
      </c>
      <c r="K976" s="277" t="s">
        <v>202</v>
      </c>
      <c r="L976" s="261" t="s">
        <v>155</v>
      </c>
      <c r="M976" s="257"/>
      <c r="N976" s="257"/>
      <c r="O976" s="257"/>
    </row>
    <row r="977" spans="1:15" hidden="1">
      <c r="A977" s="256">
        <v>45805</v>
      </c>
      <c r="B977" s="257" t="s">
        <v>1550</v>
      </c>
      <c r="C977" s="264" t="s">
        <v>2086</v>
      </c>
      <c r="D977" s="257" t="s">
        <v>118</v>
      </c>
      <c r="E977" s="259">
        <v>3750</v>
      </c>
      <c r="F977" s="259">
        <v>6.6851774178343559</v>
      </c>
      <c r="G977" s="269">
        <v>579.64599999999996</v>
      </c>
      <c r="H977" s="261" t="s">
        <v>190</v>
      </c>
      <c r="I977" s="261" t="s">
        <v>1750</v>
      </c>
      <c r="J977" s="261" t="s">
        <v>98</v>
      </c>
      <c r="K977" s="277" t="s">
        <v>202</v>
      </c>
      <c r="L977" s="261" t="s">
        <v>155</v>
      </c>
      <c r="M977" s="257"/>
      <c r="N977" s="257"/>
      <c r="O977" s="257"/>
    </row>
    <row r="978" spans="1:15" hidden="1">
      <c r="A978" s="256">
        <v>45806</v>
      </c>
      <c r="B978" s="257" t="s">
        <v>3066</v>
      </c>
      <c r="C978" s="257" t="s">
        <v>174</v>
      </c>
      <c r="D978" s="258" t="s">
        <v>442</v>
      </c>
      <c r="E978" s="259">
        <v>8000</v>
      </c>
      <c r="F978" s="259">
        <v>14.261711824713291</v>
      </c>
      <c r="G978" s="269">
        <v>579.64599999999996</v>
      </c>
      <c r="H978" s="261" t="s">
        <v>317</v>
      </c>
      <c r="I978" s="261" t="s">
        <v>1597</v>
      </c>
      <c r="J978" s="261" t="s">
        <v>98</v>
      </c>
      <c r="K978" s="277" t="s">
        <v>202</v>
      </c>
      <c r="L978" s="261" t="s">
        <v>155</v>
      </c>
      <c r="M978" s="257"/>
      <c r="N978" s="257"/>
      <c r="O978" s="257"/>
    </row>
    <row r="979" spans="1:15" hidden="1">
      <c r="A979" s="256">
        <v>45806</v>
      </c>
      <c r="B979" s="257" t="s">
        <v>3067</v>
      </c>
      <c r="C979" s="263" t="s">
        <v>177</v>
      </c>
      <c r="D979" s="258" t="s">
        <v>442</v>
      </c>
      <c r="E979" s="259">
        <v>15000</v>
      </c>
      <c r="F979" s="259">
        <v>26.740709671337424</v>
      </c>
      <c r="G979" s="269">
        <v>579.64599999999996</v>
      </c>
      <c r="H979" s="261" t="s">
        <v>317</v>
      </c>
      <c r="I979" s="261" t="s">
        <v>1598</v>
      </c>
      <c r="J979" s="261" t="s">
        <v>98</v>
      </c>
      <c r="K979" s="277" t="s">
        <v>202</v>
      </c>
      <c r="L979" s="261" t="s">
        <v>155</v>
      </c>
      <c r="M979" s="257"/>
      <c r="N979" s="257"/>
      <c r="O979" s="257"/>
    </row>
    <row r="980" spans="1:15" hidden="1">
      <c r="A980" s="256">
        <v>45806</v>
      </c>
      <c r="B980" s="257" t="s">
        <v>1599</v>
      </c>
      <c r="C980" s="257" t="s">
        <v>174</v>
      </c>
      <c r="D980" s="258" t="s">
        <v>442</v>
      </c>
      <c r="E980" s="259">
        <v>28700</v>
      </c>
      <c r="F980" s="259">
        <v>51.163891171158937</v>
      </c>
      <c r="G980" s="269">
        <v>579.64599999999996</v>
      </c>
      <c r="H980" s="261" t="s">
        <v>317</v>
      </c>
      <c r="I980" s="261" t="s">
        <v>1600</v>
      </c>
      <c r="J980" s="261" t="s">
        <v>98</v>
      </c>
      <c r="K980" s="277" t="s">
        <v>202</v>
      </c>
      <c r="L980" s="261" t="s">
        <v>155</v>
      </c>
      <c r="M980" s="257"/>
      <c r="N980" s="257"/>
      <c r="O980" s="257"/>
    </row>
    <row r="981" spans="1:15" hidden="1">
      <c r="A981" s="256">
        <v>45807</v>
      </c>
      <c r="B981" s="257" t="s">
        <v>1525</v>
      </c>
      <c r="C981" s="257" t="s">
        <v>127</v>
      </c>
      <c r="D981" s="258" t="s">
        <v>442</v>
      </c>
      <c r="E981" s="259">
        <v>245000</v>
      </c>
      <c r="F981" s="259">
        <v>436.76492463184456</v>
      </c>
      <c r="G981" s="260">
        <v>560.94248000000005</v>
      </c>
      <c r="H981" s="261" t="s">
        <v>148</v>
      </c>
      <c r="I981" s="261" t="s">
        <v>1890</v>
      </c>
      <c r="J981" s="261" t="s">
        <v>98</v>
      </c>
      <c r="K981" s="274" t="s">
        <v>1902</v>
      </c>
      <c r="L981" s="279" t="s">
        <v>155</v>
      </c>
      <c r="M981" s="257"/>
      <c r="N981" s="257"/>
      <c r="O981" s="257"/>
    </row>
    <row r="982" spans="1:15" hidden="1">
      <c r="A982" s="256">
        <v>45807</v>
      </c>
      <c r="B982" s="257" t="s">
        <v>1690</v>
      </c>
      <c r="C982" s="257" t="s">
        <v>174</v>
      </c>
      <c r="D982" s="257" t="s">
        <v>119</v>
      </c>
      <c r="E982" s="259">
        <v>57000</v>
      </c>
      <c r="F982" s="259">
        <v>101.61469675108221</v>
      </c>
      <c r="G982" s="269">
        <v>579.64599999999996</v>
      </c>
      <c r="H982" s="261" t="s">
        <v>153</v>
      </c>
      <c r="I982" s="280" t="s">
        <v>1691</v>
      </c>
      <c r="J982" s="261" t="s">
        <v>98</v>
      </c>
      <c r="K982" s="277" t="s">
        <v>202</v>
      </c>
      <c r="L982" s="261" t="s">
        <v>155</v>
      </c>
      <c r="M982" s="257"/>
      <c r="N982" s="257"/>
      <c r="O982" s="257"/>
    </row>
    <row r="983" spans="1:15" hidden="1">
      <c r="A983" s="256">
        <v>45807</v>
      </c>
      <c r="B983" s="257" t="s">
        <v>1577</v>
      </c>
      <c r="C983" s="257" t="s">
        <v>152</v>
      </c>
      <c r="D983" s="257" t="s">
        <v>119</v>
      </c>
      <c r="E983" s="259">
        <v>21000</v>
      </c>
      <c r="F983" s="259">
        <v>37.43699353987239</v>
      </c>
      <c r="G983" s="269">
        <v>579.64599999999996</v>
      </c>
      <c r="H983" s="261" t="s">
        <v>153</v>
      </c>
      <c r="I983" s="280" t="s">
        <v>1692</v>
      </c>
      <c r="J983" s="261" t="s">
        <v>98</v>
      </c>
      <c r="K983" s="277" t="s">
        <v>202</v>
      </c>
      <c r="L983" s="261" t="s">
        <v>155</v>
      </c>
      <c r="M983" s="257"/>
      <c r="N983" s="257"/>
      <c r="O983" s="257"/>
    </row>
    <row r="984" spans="1:15" hidden="1">
      <c r="A984" s="256">
        <v>45807</v>
      </c>
      <c r="B984" s="257" t="s">
        <v>1721</v>
      </c>
      <c r="C984" s="257" t="s">
        <v>174</v>
      </c>
      <c r="D984" s="258" t="s">
        <v>117</v>
      </c>
      <c r="E984" s="259">
        <v>21500</v>
      </c>
      <c r="F984" s="259">
        <v>38.328350528916971</v>
      </c>
      <c r="G984" s="269">
        <v>579.64599999999996</v>
      </c>
      <c r="H984" s="261" t="s">
        <v>200</v>
      </c>
      <c r="I984" s="262" t="s">
        <v>1722</v>
      </c>
      <c r="J984" s="261" t="s">
        <v>98</v>
      </c>
      <c r="K984" s="277" t="s">
        <v>202</v>
      </c>
      <c r="L984" s="261" t="s">
        <v>155</v>
      </c>
      <c r="M984" s="257"/>
      <c r="N984" s="257"/>
      <c r="O984" s="257"/>
    </row>
    <row r="985" spans="1:15" hidden="1">
      <c r="A985" s="256">
        <v>45807</v>
      </c>
      <c r="B985" s="257" t="s">
        <v>1576</v>
      </c>
      <c r="C985" s="257" t="s">
        <v>152</v>
      </c>
      <c r="D985" s="258" t="s">
        <v>117</v>
      </c>
      <c r="E985" s="259">
        <v>16000</v>
      </c>
      <c r="F985" s="259">
        <v>28.523423649426583</v>
      </c>
      <c r="G985" s="269">
        <v>579.64599999999996</v>
      </c>
      <c r="H985" s="261" t="s">
        <v>200</v>
      </c>
      <c r="I985" s="262" t="s">
        <v>1723</v>
      </c>
      <c r="J985" s="261" t="s">
        <v>98</v>
      </c>
      <c r="K985" s="277" t="s">
        <v>202</v>
      </c>
      <c r="L985" s="261" t="s">
        <v>155</v>
      </c>
      <c r="M985" s="257"/>
      <c r="N985" s="257"/>
      <c r="O985" s="257"/>
    </row>
    <row r="986" spans="1:15" hidden="1">
      <c r="A986" s="256">
        <v>45807</v>
      </c>
      <c r="B986" s="257" t="s">
        <v>1583</v>
      </c>
      <c r="C986" s="257" t="s">
        <v>152</v>
      </c>
      <c r="D986" s="258" t="s">
        <v>117</v>
      </c>
      <c r="E986" s="259">
        <v>5000</v>
      </c>
      <c r="F986" s="259">
        <v>8.9135698904458067</v>
      </c>
      <c r="G986" s="269">
        <v>579.64599999999996</v>
      </c>
      <c r="H986" s="261" t="s">
        <v>200</v>
      </c>
      <c r="I986" s="262" t="s">
        <v>1724</v>
      </c>
      <c r="J986" s="261" t="s">
        <v>98</v>
      </c>
      <c r="K986" s="277" t="s">
        <v>202</v>
      </c>
      <c r="L986" s="261" t="s">
        <v>155</v>
      </c>
      <c r="M986" s="257"/>
      <c r="N986" s="257"/>
      <c r="O986" s="257"/>
    </row>
    <row r="987" spans="1:15" hidden="1">
      <c r="A987" s="256">
        <v>45807</v>
      </c>
      <c r="B987" s="257" t="s">
        <v>1742</v>
      </c>
      <c r="C987" s="257" t="s">
        <v>174</v>
      </c>
      <c r="D987" s="257" t="s">
        <v>118</v>
      </c>
      <c r="E987" s="259">
        <v>38500</v>
      </c>
      <c r="F987" s="259">
        <v>68.634488156432724</v>
      </c>
      <c r="G987" s="269">
        <v>579.64599999999996</v>
      </c>
      <c r="H987" s="261" t="s">
        <v>583</v>
      </c>
      <c r="I987" s="261" t="s">
        <v>1743</v>
      </c>
      <c r="J987" s="261" t="s">
        <v>98</v>
      </c>
      <c r="K987" s="277" t="s">
        <v>202</v>
      </c>
      <c r="L987" s="261" t="s">
        <v>155</v>
      </c>
      <c r="M987" s="257"/>
      <c r="N987" s="257"/>
      <c r="O987" s="257"/>
    </row>
    <row r="988" spans="1:15" hidden="1">
      <c r="A988" s="256">
        <v>45807</v>
      </c>
      <c r="B988" s="257" t="s">
        <v>1555</v>
      </c>
      <c r="C988" s="263" t="s">
        <v>126</v>
      </c>
      <c r="D988" s="257" t="s">
        <v>118</v>
      </c>
      <c r="E988" s="259">
        <v>10000</v>
      </c>
      <c r="F988" s="259">
        <v>17.827139780891613</v>
      </c>
      <c r="G988" s="269">
        <v>579.64599999999996</v>
      </c>
      <c r="H988" s="261" t="s">
        <v>583</v>
      </c>
      <c r="I988" s="261" t="s">
        <v>1736</v>
      </c>
      <c r="J988" s="261" t="s">
        <v>98</v>
      </c>
      <c r="K988" s="277" t="s">
        <v>202</v>
      </c>
      <c r="L988" s="261" t="s">
        <v>155</v>
      </c>
      <c r="M988" s="257"/>
      <c r="N988" s="257"/>
      <c r="O988" s="257"/>
    </row>
    <row r="989" spans="1:15" hidden="1">
      <c r="A989" s="256">
        <v>45807</v>
      </c>
      <c r="B989" s="257" t="s">
        <v>1556</v>
      </c>
      <c r="C989" s="257" t="s">
        <v>626</v>
      </c>
      <c r="D989" s="257" t="s">
        <v>118</v>
      </c>
      <c r="E989" s="259">
        <v>45050</v>
      </c>
      <c r="F989" s="259">
        <v>80.311264712916724</v>
      </c>
      <c r="G989" s="269">
        <v>579.64599999999996</v>
      </c>
      <c r="H989" s="261" t="s">
        <v>583</v>
      </c>
      <c r="I989" s="261" t="s">
        <v>1737</v>
      </c>
      <c r="J989" s="261" t="s">
        <v>98</v>
      </c>
      <c r="K989" s="277" t="s">
        <v>202</v>
      </c>
      <c r="L989" s="261" t="s">
        <v>155</v>
      </c>
      <c r="M989" s="257"/>
      <c r="N989" s="257"/>
      <c r="O989" s="257"/>
    </row>
    <row r="990" spans="1:15" hidden="1">
      <c r="A990" s="256">
        <v>45807</v>
      </c>
      <c r="B990" s="257" t="s">
        <v>1558</v>
      </c>
      <c r="C990" s="264" t="s">
        <v>2086</v>
      </c>
      <c r="D990" s="257" t="s">
        <v>118</v>
      </c>
      <c r="E990" s="259">
        <v>11200</v>
      </c>
      <c r="F990" s="259">
        <v>19.96639655459861</v>
      </c>
      <c r="G990" s="269">
        <v>579.64599999999996</v>
      </c>
      <c r="H990" s="261" t="s">
        <v>583</v>
      </c>
      <c r="I990" s="261" t="s">
        <v>1738</v>
      </c>
      <c r="J990" s="261" t="s">
        <v>98</v>
      </c>
      <c r="K990" s="277" t="s">
        <v>202</v>
      </c>
      <c r="L990" s="261" t="s">
        <v>155</v>
      </c>
      <c r="M990" s="257"/>
      <c r="N990" s="257"/>
      <c r="O990" s="257"/>
    </row>
    <row r="991" spans="1:15" hidden="1">
      <c r="A991" s="256">
        <v>45807</v>
      </c>
      <c r="B991" s="257" t="s">
        <v>1578</v>
      </c>
      <c r="C991" s="257" t="s">
        <v>152</v>
      </c>
      <c r="D991" s="257" t="s">
        <v>1566</v>
      </c>
      <c r="E991" s="259">
        <v>21000</v>
      </c>
      <c r="F991" s="259">
        <v>37.43699353987239</v>
      </c>
      <c r="G991" s="269">
        <v>579.64599999999996</v>
      </c>
      <c r="H991" s="261" t="s">
        <v>583</v>
      </c>
      <c r="I991" s="261" t="s">
        <v>1744</v>
      </c>
      <c r="J991" s="261" t="s">
        <v>98</v>
      </c>
      <c r="K991" s="277" t="s">
        <v>202</v>
      </c>
      <c r="L991" s="261" t="s">
        <v>155</v>
      </c>
      <c r="M991" s="257"/>
      <c r="N991" s="257"/>
      <c r="O991" s="257"/>
    </row>
    <row r="992" spans="1:15" hidden="1">
      <c r="A992" s="256">
        <v>45807</v>
      </c>
      <c r="B992" s="257" t="s">
        <v>1575</v>
      </c>
      <c r="C992" s="257" t="s">
        <v>152</v>
      </c>
      <c r="D992" s="258" t="s">
        <v>442</v>
      </c>
      <c r="E992" s="259">
        <v>10000</v>
      </c>
      <c r="F992" s="259">
        <v>17.827139780891613</v>
      </c>
      <c r="G992" s="269">
        <v>579.64599999999996</v>
      </c>
      <c r="H992" s="261" t="s">
        <v>184</v>
      </c>
      <c r="I992" s="262" t="s">
        <v>1631</v>
      </c>
      <c r="J992" s="261" t="s">
        <v>98</v>
      </c>
      <c r="K992" s="277" t="s">
        <v>202</v>
      </c>
      <c r="L992" s="261" t="s">
        <v>155</v>
      </c>
      <c r="M992" s="257"/>
      <c r="N992" s="257"/>
      <c r="O992" s="257"/>
    </row>
    <row r="993" spans="1:15" hidden="1">
      <c r="A993" s="256">
        <v>45807</v>
      </c>
      <c r="B993" s="257" t="s">
        <v>1584</v>
      </c>
      <c r="C993" s="257" t="s">
        <v>152</v>
      </c>
      <c r="D993" s="258" t="s">
        <v>442</v>
      </c>
      <c r="E993" s="259">
        <v>16000</v>
      </c>
      <c r="F993" s="259">
        <v>28.523423649426583</v>
      </c>
      <c r="G993" s="269">
        <v>579.64599999999996</v>
      </c>
      <c r="H993" s="261" t="s">
        <v>184</v>
      </c>
      <c r="I993" s="262" t="s">
        <v>1632</v>
      </c>
      <c r="J993" s="261" t="s">
        <v>98</v>
      </c>
      <c r="K993" s="277" t="s">
        <v>202</v>
      </c>
      <c r="L993" s="261" t="s">
        <v>155</v>
      </c>
      <c r="M993" s="257"/>
      <c r="N993" s="257"/>
      <c r="O993" s="257"/>
    </row>
    <row r="994" spans="1:15" hidden="1">
      <c r="A994" s="256">
        <v>45807</v>
      </c>
      <c r="B994" s="257" t="s">
        <v>1575</v>
      </c>
      <c r="C994" s="257" t="s">
        <v>152</v>
      </c>
      <c r="D994" s="258" t="s">
        <v>442</v>
      </c>
      <c r="E994" s="259">
        <v>26000</v>
      </c>
      <c r="F994" s="259">
        <v>46.350563430318196</v>
      </c>
      <c r="G994" s="269">
        <v>579.64599999999996</v>
      </c>
      <c r="H994" s="261" t="s">
        <v>175</v>
      </c>
      <c r="I994" s="261" t="s">
        <v>1657</v>
      </c>
      <c r="J994" s="261" t="s">
        <v>98</v>
      </c>
      <c r="K994" s="277" t="s">
        <v>202</v>
      </c>
      <c r="L994" s="261" t="s">
        <v>155</v>
      </c>
      <c r="M994" s="257"/>
      <c r="N994" s="257"/>
      <c r="O994" s="257"/>
    </row>
    <row r="995" spans="1:15" hidden="1">
      <c r="A995" s="256">
        <v>45807</v>
      </c>
      <c r="B995" s="257" t="s">
        <v>1575</v>
      </c>
      <c r="C995" s="257" t="s">
        <v>152</v>
      </c>
      <c r="D995" s="258" t="s">
        <v>442</v>
      </c>
      <c r="E995" s="259">
        <v>26000</v>
      </c>
      <c r="F995" s="259">
        <v>46.350563430318196</v>
      </c>
      <c r="G995" s="269">
        <v>579.64599999999996</v>
      </c>
      <c r="H995" s="261" t="s">
        <v>317</v>
      </c>
      <c r="I995" s="261" t="s">
        <v>1602</v>
      </c>
      <c r="J995" s="261" t="s">
        <v>98</v>
      </c>
      <c r="K995" s="277" t="s">
        <v>202</v>
      </c>
      <c r="L995" s="261" t="s">
        <v>155</v>
      </c>
      <c r="M995" s="257"/>
      <c r="N995" s="257"/>
      <c r="O995" s="257"/>
    </row>
    <row r="996" spans="1:15" hidden="1">
      <c r="A996" s="256">
        <v>45807</v>
      </c>
      <c r="B996" s="257" t="s">
        <v>1575</v>
      </c>
      <c r="C996" s="257" t="s">
        <v>152</v>
      </c>
      <c r="D996" s="258" t="s">
        <v>442</v>
      </c>
      <c r="E996" s="259">
        <v>10000</v>
      </c>
      <c r="F996" s="259">
        <v>17.827139780891613</v>
      </c>
      <c r="G996" s="269">
        <v>579.64599999999996</v>
      </c>
      <c r="H996" s="261" t="s">
        <v>323</v>
      </c>
      <c r="I996" s="261" t="s">
        <v>1685</v>
      </c>
      <c r="J996" s="261" t="s">
        <v>98</v>
      </c>
      <c r="K996" s="277" t="s">
        <v>202</v>
      </c>
      <c r="L996" s="261" t="s">
        <v>155</v>
      </c>
      <c r="M996" s="257"/>
      <c r="N996" s="257"/>
      <c r="O996" s="257"/>
    </row>
    <row r="997" spans="1:15" hidden="1">
      <c r="A997" s="256">
        <v>45807</v>
      </c>
      <c r="B997" s="257" t="s">
        <v>1584</v>
      </c>
      <c r="C997" s="257" t="s">
        <v>152</v>
      </c>
      <c r="D997" s="258" t="s">
        <v>442</v>
      </c>
      <c r="E997" s="259">
        <v>16000</v>
      </c>
      <c r="F997" s="259">
        <v>28.523423649426583</v>
      </c>
      <c r="G997" s="269">
        <v>579.64599999999996</v>
      </c>
      <c r="H997" s="261" t="s">
        <v>323</v>
      </c>
      <c r="I997" s="261" t="s">
        <v>1897</v>
      </c>
      <c r="J997" s="261" t="s">
        <v>98</v>
      </c>
      <c r="K997" s="277" t="s">
        <v>202</v>
      </c>
      <c r="L997" s="261" t="s">
        <v>155</v>
      </c>
      <c r="M997" s="257"/>
      <c r="N997" s="257"/>
      <c r="O997" s="257"/>
    </row>
    <row r="998" spans="1:15" hidden="1">
      <c r="A998" s="256">
        <v>45807</v>
      </c>
      <c r="B998" s="257" t="s">
        <v>1576</v>
      </c>
      <c r="C998" s="257" t="s">
        <v>152</v>
      </c>
      <c r="D998" s="258" t="s">
        <v>117</v>
      </c>
      <c r="E998" s="259">
        <v>16000</v>
      </c>
      <c r="F998" s="259">
        <v>28.523423649426583</v>
      </c>
      <c r="G998" s="269">
        <v>579.64599999999996</v>
      </c>
      <c r="H998" s="261" t="s">
        <v>190</v>
      </c>
      <c r="I998" s="261" t="s">
        <v>1765</v>
      </c>
      <c r="J998" s="261" t="s">
        <v>98</v>
      </c>
      <c r="K998" s="277" t="s">
        <v>202</v>
      </c>
      <c r="L998" s="261" t="s">
        <v>155</v>
      </c>
      <c r="M998" s="257"/>
      <c r="N998" s="257"/>
      <c r="O998" s="257"/>
    </row>
    <row r="999" spans="1:15" hidden="1">
      <c r="A999" s="256">
        <v>45807</v>
      </c>
      <c r="B999" s="257" t="s">
        <v>1583</v>
      </c>
      <c r="C999" s="257" t="s">
        <v>152</v>
      </c>
      <c r="D999" s="258" t="s">
        <v>117</v>
      </c>
      <c r="E999" s="259">
        <v>5000</v>
      </c>
      <c r="F999" s="259">
        <v>8.9135698904458067</v>
      </c>
      <c r="G999" s="269">
        <v>579.64599999999996</v>
      </c>
      <c r="H999" s="261" t="s">
        <v>190</v>
      </c>
      <c r="I999" s="261" t="s">
        <v>1766</v>
      </c>
      <c r="J999" s="261" t="s">
        <v>98</v>
      </c>
      <c r="K999" s="277" t="s">
        <v>202</v>
      </c>
      <c r="L999" s="261" t="s">
        <v>155</v>
      </c>
      <c r="M999" s="257"/>
      <c r="N999" s="257"/>
      <c r="O999" s="257"/>
    </row>
    <row r="1000" spans="1:15" hidden="1">
      <c r="A1000" s="256">
        <v>45807</v>
      </c>
      <c r="B1000" s="257" t="s">
        <v>1557</v>
      </c>
      <c r="C1000" s="264" t="s">
        <v>2086</v>
      </c>
      <c r="D1000" s="257" t="s">
        <v>118</v>
      </c>
      <c r="E1000" s="259">
        <v>14100</v>
      </c>
      <c r="F1000" s="259">
        <v>25.136267091057178</v>
      </c>
      <c r="G1000" s="269">
        <v>579.64599999999996</v>
      </c>
      <c r="H1000" s="261" t="s">
        <v>190</v>
      </c>
      <c r="I1000" s="261" t="s">
        <v>1751</v>
      </c>
      <c r="J1000" s="261" t="s">
        <v>98</v>
      </c>
      <c r="K1000" s="277" t="s">
        <v>202</v>
      </c>
      <c r="L1000" s="261" t="s">
        <v>155</v>
      </c>
      <c r="M1000" s="257"/>
      <c r="N1000" s="257"/>
      <c r="O1000" s="257"/>
    </row>
    <row r="1001" spans="1:15" hidden="1">
      <c r="A1001" s="256">
        <v>45807</v>
      </c>
      <c r="B1001" s="257" t="s">
        <v>1559</v>
      </c>
      <c r="C1001" s="257" t="s">
        <v>174</v>
      </c>
      <c r="D1001" s="258" t="s">
        <v>117</v>
      </c>
      <c r="E1001" s="259">
        <v>74000</v>
      </c>
      <c r="F1001" s="259">
        <v>131.92083437859796</v>
      </c>
      <c r="G1001" s="269">
        <v>579.64599999999996</v>
      </c>
      <c r="H1001" s="261" t="s">
        <v>190</v>
      </c>
      <c r="I1001" s="261" t="s">
        <v>1838</v>
      </c>
      <c r="J1001" s="261" t="s">
        <v>98</v>
      </c>
      <c r="K1001" s="277" t="s">
        <v>202</v>
      </c>
      <c r="L1001" s="261" t="s">
        <v>155</v>
      </c>
      <c r="M1001" s="257"/>
      <c r="N1001" s="257"/>
      <c r="O1001" s="257"/>
    </row>
    <row r="1002" spans="1:15" hidden="1">
      <c r="A1002" s="256">
        <v>45807</v>
      </c>
      <c r="B1002" s="257" t="s">
        <v>1560</v>
      </c>
      <c r="C1002" s="263" t="s">
        <v>177</v>
      </c>
      <c r="D1002" s="258" t="s">
        <v>117</v>
      </c>
      <c r="E1002" s="259">
        <v>125000</v>
      </c>
      <c r="F1002" s="259">
        <v>222.83924726114518</v>
      </c>
      <c r="G1002" s="269">
        <v>579.64599999999996</v>
      </c>
      <c r="H1002" s="261" t="s">
        <v>190</v>
      </c>
      <c r="I1002" s="261" t="s">
        <v>1839</v>
      </c>
      <c r="J1002" s="261" t="s">
        <v>98</v>
      </c>
      <c r="K1002" s="277" t="s">
        <v>202</v>
      </c>
      <c r="L1002" s="261" t="s">
        <v>155</v>
      </c>
      <c r="M1002" s="257"/>
      <c r="N1002" s="257"/>
      <c r="O1002" s="257"/>
    </row>
    <row r="1003" spans="1:15" hidden="1">
      <c r="A1003" s="256">
        <v>45807</v>
      </c>
      <c r="B1003" s="257" t="s">
        <v>1791</v>
      </c>
      <c r="C1003" s="257" t="s">
        <v>174</v>
      </c>
      <c r="D1003" s="258" t="s">
        <v>117</v>
      </c>
      <c r="E1003" s="259">
        <v>26400</v>
      </c>
      <c r="F1003" s="259">
        <v>47.063649021553864</v>
      </c>
      <c r="G1003" s="269">
        <v>579.64599999999996</v>
      </c>
      <c r="H1003" s="261" t="s">
        <v>193</v>
      </c>
      <c r="I1003" s="261" t="s">
        <v>1792</v>
      </c>
      <c r="J1003" s="261" t="s">
        <v>98</v>
      </c>
      <c r="K1003" s="277" t="s">
        <v>202</v>
      </c>
      <c r="L1003" s="261" t="s">
        <v>155</v>
      </c>
      <c r="M1003" s="257"/>
      <c r="N1003" s="257"/>
      <c r="O1003" s="257"/>
    </row>
    <row r="1004" spans="1:15" hidden="1">
      <c r="A1004" s="256">
        <v>45807</v>
      </c>
      <c r="B1004" s="257" t="s">
        <v>1576</v>
      </c>
      <c r="C1004" s="257" t="s">
        <v>152</v>
      </c>
      <c r="D1004" s="258" t="s">
        <v>117</v>
      </c>
      <c r="E1004" s="259">
        <v>21000</v>
      </c>
      <c r="F1004" s="259">
        <v>37.43699353987239</v>
      </c>
      <c r="G1004" s="269">
        <v>579.64599999999996</v>
      </c>
      <c r="H1004" s="261" t="s">
        <v>193</v>
      </c>
      <c r="I1004" s="261" t="s">
        <v>1793</v>
      </c>
      <c r="J1004" s="261" t="s">
        <v>98</v>
      </c>
      <c r="K1004" s="277" t="s">
        <v>202</v>
      </c>
      <c r="L1004" s="261" t="s">
        <v>155</v>
      </c>
      <c r="M1004" s="257"/>
      <c r="N1004" s="257"/>
      <c r="O1004" s="257"/>
    </row>
    <row r="1005" spans="1:15" hidden="1">
      <c r="A1005" s="256">
        <v>45807</v>
      </c>
      <c r="B1005" s="257" t="s">
        <v>1576</v>
      </c>
      <c r="C1005" s="257" t="s">
        <v>152</v>
      </c>
      <c r="D1005" s="258" t="s">
        <v>117</v>
      </c>
      <c r="E1005" s="259">
        <v>21000</v>
      </c>
      <c r="F1005" s="259">
        <v>37.43699353987239</v>
      </c>
      <c r="G1005" s="269">
        <v>579.64599999999996</v>
      </c>
      <c r="H1005" s="261" t="s">
        <v>437</v>
      </c>
      <c r="I1005" s="261" t="s">
        <v>1815</v>
      </c>
      <c r="J1005" s="261" t="s">
        <v>98</v>
      </c>
      <c r="K1005" s="277" t="s">
        <v>202</v>
      </c>
      <c r="L1005" s="261" t="s">
        <v>155</v>
      </c>
      <c r="M1005" s="257"/>
      <c r="N1005" s="257"/>
      <c r="O1005" s="257"/>
    </row>
    <row r="1006" spans="1:15" hidden="1">
      <c r="A1006" s="256">
        <v>45807</v>
      </c>
      <c r="B1006" s="257" t="s">
        <v>1833</v>
      </c>
      <c r="C1006" s="257" t="s">
        <v>174</v>
      </c>
      <c r="D1006" s="257" t="s">
        <v>120</v>
      </c>
      <c r="E1006" s="259">
        <v>18000</v>
      </c>
      <c r="F1006" s="259">
        <v>32.088851605604908</v>
      </c>
      <c r="G1006" s="269">
        <v>579.64599999999996</v>
      </c>
      <c r="H1006" s="261" t="s">
        <v>213</v>
      </c>
      <c r="I1006" s="261" t="s">
        <v>1834</v>
      </c>
      <c r="J1006" s="261" t="s">
        <v>98</v>
      </c>
      <c r="K1006" s="277" t="s">
        <v>202</v>
      </c>
      <c r="L1006" s="261" t="s">
        <v>155</v>
      </c>
      <c r="M1006" s="257"/>
      <c r="N1006" s="257"/>
      <c r="O1006" s="257"/>
    </row>
    <row r="1007" spans="1:15" hidden="1">
      <c r="A1007" s="256">
        <v>45807</v>
      </c>
      <c r="B1007" s="257" t="s">
        <v>1869</v>
      </c>
      <c r="C1007" s="257" t="s">
        <v>174</v>
      </c>
      <c r="D1007" s="258" t="s">
        <v>117</v>
      </c>
      <c r="E1007" s="259">
        <v>58400</v>
      </c>
      <c r="F1007" s="259">
        <v>104.11049632040704</v>
      </c>
      <c r="G1007" s="269">
        <v>579.64599999999996</v>
      </c>
      <c r="H1007" s="261" t="s">
        <v>187</v>
      </c>
      <c r="I1007" s="261" t="s">
        <v>1870</v>
      </c>
      <c r="J1007" s="261" t="s">
        <v>98</v>
      </c>
      <c r="K1007" s="277" t="s">
        <v>202</v>
      </c>
      <c r="L1007" s="261" t="s">
        <v>155</v>
      </c>
      <c r="M1007" s="257"/>
      <c r="N1007" s="257"/>
      <c r="O1007" s="257"/>
    </row>
    <row r="1008" spans="1:15" hidden="1">
      <c r="A1008" s="256">
        <v>45807</v>
      </c>
      <c r="B1008" s="257" t="s">
        <v>1576</v>
      </c>
      <c r="C1008" s="257" t="s">
        <v>152</v>
      </c>
      <c r="D1008" s="258" t="s">
        <v>117</v>
      </c>
      <c r="E1008" s="259">
        <v>21000</v>
      </c>
      <c r="F1008" s="259">
        <v>37.43699353987239</v>
      </c>
      <c r="G1008" s="269">
        <v>579.64599999999996</v>
      </c>
      <c r="H1008" s="261" t="s">
        <v>187</v>
      </c>
      <c r="I1008" s="261" t="s">
        <v>1871</v>
      </c>
      <c r="J1008" s="261" t="s">
        <v>98</v>
      </c>
      <c r="K1008" s="277" t="s">
        <v>202</v>
      </c>
      <c r="L1008" s="261" t="s">
        <v>155</v>
      </c>
      <c r="M1008" s="257"/>
      <c r="N1008" s="257"/>
      <c r="O1008" s="257"/>
    </row>
    <row r="1009" spans="1:15" hidden="1">
      <c r="A1009" s="256">
        <v>45807</v>
      </c>
      <c r="B1009" s="257" t="s">
        <v>1586</v>
      </c>
      <c r="C1009" s="257" t="s">
        <v>152</v>
      </c>
      <c r="D1009" s="257" t="s">
        <v>120</v>
      </c>
      <c r="E1009" s="259">
        <v>10000</v>
      </c>
      <c r="F1009" s="259">
        <v>17.827139780891613</v>
      </c>
      <c r="G1009" s="269">
        <v>579.64599999999996</v>
      </c>
      <c r="H1009" s="261" t="s">
        <v>213</v>
      </c>
      <c r="I1009" s="261" t="s">
        <v>1836</v>
      </c>
      <c r="J1009" s="261" t="s">
        <v>98</v>
      </c>
      <c r="K1009" s="277" t="s">
        <v>202</v>
      </c>
      <c r="L1009" s="261" t="s">
        <v>155</v>
      </c>
      <c r="M1009" s="257"/>
      <c r="N1009" s="257"/>
      <c r="O1009" s="257"/>
    </row>
    <row r="1010" spans="1:15" hidden="1">
      <c r="A1010" s="256">
        <v>45807</v>
      </c>
      <c r="B1010" s="257" t="s">
        <v>1585</v>
      </c>
      <c r="C1010" s="257" t="s">
        <v>152</v>
      </c>
      <c r="D1010" s="257" t="s">
        <v>120</v>
      </c>
      <c r="E1010" s="259">
        <v>11000</v>
      </c>
      <c r="F1010" s="259">
        <v>19.609853758980776</v>
      </c>
      <c r="G1010" s="269">
        <v>579.64599999999996</v>
      </c>
      <c r="H1010" s="261" t="s">
        <v>213</v>
      </c>
      <c r="I1010" s="261" t="s">
        <v>1837</v>
      </c>
      <c r="J1010" s="261" t="s">
        <v>98</v>
      </c>
      <c r="K1010" s="277" t="s">
        <v>202</v>
      </c>
      <c r="L1010" s="261" t="s">
        <v>155</v>
      </c>
      <c r="M1010" s="257"/>
      <c r="N1010" s="257"/>
      <c r="O1010" s="257"/>
    </row>
    <row r="1011" spans="1:15" hidden="1">
      <c r="A1011" s="256">
        <v>45808</v>
      </c>
      <c r="B1011" s="257" t="s">
        <v>3026</v>
      </c>
      <c r="C1011" s="263" t="s">
        <v>177</v>
      </c>
      <c r="D1011" s="258" t="s">
        <v>442</v>
      </c>
      <c r="E1011" s="259">
        <v>60000</v>
      </c>
      <c r="F1011" s="259">
        <v>106.96283868534969</v>
      </c>
      <c r="G1011" s="269">
        <v>579.64599999999996</v>
      </c>
      <c r="H1011" s="261" t="s">
        <v>184</v>
      </c>
      <c r="I1011" s="262" t="s">
        <v>1626</v>
      </c>
      <c r="J1011" s="261" t="s">
        <v>98</v>
      </c>
      <c r="K1011" s="277" t="s">
        <v>202</v>
      </c>
      <c r="L1011" s="261" t="s">
        <v>155</v>
      </c>
      <c r="M1011" s="257"/>
      <c r="N1011" s="257"/>
      <c r="O1011" s="257"/>
    </row>
    <row r="1012" spans="1:15" hidden="1">
      <c r="A1012" s="256">
        <v>45808</v>
      </c>
      <c r="B1012" s="257" t="s">
        <v>1653</v>
      </c>
      <c r="C1012" s="257" t="s">
        <v>174</v>
      </c>
      <c r="D1012" s="258" t="s">
        <v>442</v>
      </c>
      <c r="E1012" s="259">
        <v>99500</v>
      </c>
      <c r="F1012" s="259">
        <v>177.38004081987157</v>
      </c>
      <c r="G1012" s="269">
        <v>579.64599999999996</v>
      </c>
      <c r="H1012" s="261" t="s">
        <v>175</v>
      </c>
      <c r="I1012" s="261" t="s">
        <v>1654</v>
      </c>
      <c r="J1012" s="261" t="s">
        <v>98</v>
      </c>
      <c r="K1012" s="277" t="s">
        <v>202</v>
      </c>
      <c r="L1012" s="261" t="s">
        <v>155</v>
      </c>
      <c r="M1012" s="257"/>
      <c r="N1012" s="257"/>
      <c r="O1012" s="257"/>
    </row>
    <row r="1013" spans="1:15" hidden="1">
      <c r="A1013" s="256">
        <v>45808</v>
      </c>
      <c r="B1013" s="257" t="s">
        <v>1767</v>
      </c>
      <c r="C1013" s="257" t="s">
        <v>174</v>
      </c>
      <c r="D1013" s="258" t="s">
        <v>117</v>
      </c>
      <c r="E1013" s="259">
        <v>31000</v>
      </c>
      <c r="F1013" s="259">
        <v>55.26413332076401</v>
      </c>
      <c r="G1013" s="269">
        <v>579.64599999999996</v>
      </c>
      <c r="H1013" s="261" t="s">
        <v>190</v>
      </c>
      <c r="I1013" s="261" t="s">
        <v>1768</v>
      </c>
      <c r="J1013" s="261" t="s">
        <v>98</v>
      </c>
      <c r="K1013" s="277" t="s">
        <v>202</v>
      </c>
      <c r="L1013" s="261" t="s">
        <v>155</v>
      </c>
      <c r="M1013" s="257"/>
      <c r="N1013" s="257"/>
      <c r="O1013" s="257"/>
    </row>
    <row r="1014" spans="1:15" hidden="1">
      <c r="A1014" s="256">
        <v>45808</v>
      </c>
      <c r="B1014" s="257" t="s">
        <v>1816</v>
      </c>
      <c r="C1014" s="257" t="s">
        <v>313</v>
      </c>
      <c r="D1014" s="258" t="s">
        <v>117</v>
      </c>
      <c r="E1014" s="259">
        <v>40500</v>
      </c>
      <c r="F1014" s="259">
        <v>72.199916112611035</v>
      </c>
      <c r="G1014" s="269">
        <v>579.64599999999996</v>
      </c>
      <c r="H1014" s="261" t="s">
        <v>437</v>
      </c>
      <c r="I1014" s="261" t="s">
        <v>1817</v>
      </c>
      <c r="J1014" s="261" t="s">
        <v>98</v>
      </c>
      <c r="K1014" s="277" t="s">
        <v>202</v>
      </c>
      <c r="L1014" s="261" t="s">
        <v>155</v>
      </c>
      <c r="M1014" s="257"/>
      <c r="N1014" s="257"/>
      <c r="O1014" s="257"/>
    </row>
    <row r="1015" spans="1:15" hidden="1">
      <c r="A1015" s="256">
        <v>45808</v>
      </c>
      <c r="B1015" s="257" t="s">
        <v>1818</v>
      </c>
      <c r="C1015" s="257" t="s">
        <v>196</v>
      </c>
      <c r="D1015" s="258" t="s">
        <v>117</v>
      </c>
      <c r="E1015" s="259">
        <v>46000</v>
      </c>
      <c r="F1015" s="259">
        <v>82.00484299210143</v>
      </c>
      <c r="G1015" s="269">
        <v>579.64599999999996</v>
      </c>
      <c r="H1015" s="261" t="s">
        <v>437</v>
      </c>
      <c r="I1015" s="261" t="s">
        <v>1819</v>
      </c>
      <c r="J1015" s="261" t="s">
        <v>98</v>
      </c>
      <c r="K1015" s="277" t="s">
        <v>202</v>
      </c>
      <c r="L1015" s="261" t="s">
        <v>155</v>
      </c>
      <c r="M1015" s="257"/>
      <c r="N1015" s="257"/>
      <c r="O1015" s="257"/>
    </row>
    <row r="1016" spans="1:15" hidden="1">
      <c r="A1016" s="281">
        <v>45809</v>
      </c>
      <c r="B1016" s="257" t="s">
        <v>2992</v>
      </c>
      <c r="C1016" s="263" t="s">
        <v>177</v>
      </c>
      <c r="D1016" s="258" t="s">
        <v>442</v>
      </c>
      <c r="E1016" s="259">
        <v>75000</v>
      </c>
      <c r="F1016" s="259">
        <v>133.70354835668712</v>
      </c>
      <c r="G1016" s="269">
        <v>579.64599999999996</v>
      </c>
      <c r="H1016" s="261" t="s">
        <v>175</v>
      </c>
      <c r="I1016" s="261" t="s">
        <v>176</v>
      </c>
      <c r="J1016" s="261" t="s">
        <v>98</v>
      </c>
      <c r="K1016" s="277" t="s">
        <v>202</v>
      </c>
      <c r="L1016" s="257" t="s">
        <v>155</v>
      </c>
      <c r="M1016" s="257"/>
      <c r="N1016" s="257"/>
      <c r="O1016" s="257"/>
    </row>
    <row r="1017" spans="1:15" hidden="1">
      <c r="A1017" s="281">
        <v>45809</v>
      </c>
      <c r="B1017" s="257" t="s">
        <v>2032</v>
      </c>
      <c r="C1017" s="257" t="s">
        <v>174</v>
      </c>
      <c r="D1017" s="257" t="s">
        <v>117</v>
      </c>
      <c r="E1017" s="259">
        <v>33000</v>
      </c>
      <c r="F1017" s="259">
        <v>58.829561276942329</v>
      </c>
      <c r="G1017" s="269">
        <v>579.64599999999996</v>
      </c>
      <c r="H1017" s="261" t="s">
        <v>187</v>
      </c>
      <c r="I1017" s="261" t="s">
        <v>188</v>
      </c>
      <c r="J1017" s="261" t="s">
        <v>98</v>
      </c>
      <c r="K1017" s="277" t="s">
        <v>202</v>
      </c>
      <c r="L1017" s="257" t="s">
        <v>155</v>
      </c>
      <c r="M1017" s="257"/>
      <c r="N1017" s="257"/>
      <c r="O1017" s="257"/>
    </row>
    <row r="1018" spans="1:15" hidden="1">
      <c r="A1018" s="281">
        <v>45809</v>
      </c>
      <c r="B1018" s="257" t="s">
        <v>2033</v>
      </c>
      <c r="C1018" s="263" t="s">
        <v>177</v>
      </c>
      <c r="D1018" s="257" t="s">
        <v>117</v>
      </c>
      <c r="E1018" s="259">
        <v>70000</v>
      </c>
      <c r="F1018" s="259">
        <v>124.78997846624131</v>
      </c>
      <c r="G1018" s="269">
        <v>579.64599999999996</v>
      </c>
      <c r="H1018" s="261" t="s">
        <v>187</v>
      </c>
      <c r="I1018" s="261" t="s">
        <v>205</v>
      </c>
      <c r="J1018" s="261" t="s">
        <v>98</v>
      </c>
      <c r="K1018" s="277" t="s">
        <v>202</v>
      </c>
      <c r="L1018" s="257" t="s">
        <v>155</v>
      </c>
      <c r="M1018" s="257"/>
      <c r="N1018" s="257"/>
      <c r="O1018" s="257"/>
    </row>
    <row r="1019" spans="1:15" hidden="1">
      <c r="A1019" s="281">
        <v>45810</v>
      </c>
      <c r="B1019" s="257" t="s">
        <v>2081</v>
      </c>
      <c r="C1019" s="264" t="s">
        <v>2086</v>
      </c>
      <c r="D1019" s="257" t="s">
        <v>118</v>
      </c>
      <c r="E1019" s="259">
        <v>6000</v>
      </c>
      <c r="F1019" s="259">
        <v>10.696283868534969</v>
      </c>
      <c r="G1019" s="269">
        <v>579.64599999999996</v>
      </c>
      <c r="H1019" s="261" t="s">
        <v>193</v>
      </c>
      <c r="I1019" s="261" t="s">
        <v>158</v>
      </c>
      <c r="J1019" s="261" t="s">
        <v>98</v>
      </c>
      <c r="K1019" s="277" t="s">
        <v>202</v>
      </c>
      <c r="L1019" s="257" t="s">
        <v>155</v>
      </c>
      <c r="M1019" s="257"/>
      <c r="N1019" s="257"/>
      <c r="O1019" s="257"/>
    </row>
    <row r="1020" spans="1:15" hidden="1">
      <c r="A1020" s="281">
        <v>45810</v>
      </c>
      <c r="B1020" s="257" t="s">
        <v>2082</v>
      </c>
      <c r="C1020" s="263" t="s">
        <v>2088</v>
      </c>
      <c r="D1020" s="257" t="s">
        <v>120</v>
      </c>
      <c r="E1020" s="259">
        <v>200000</v>
      </c>
      <c r="F1020" s="259">
        <v>356.54279561783233</v>
      </c>
      <c r="G1020" s="269">
        <v>579.64599999999996</v>
      </c>
      <c r="H1020" s="261" t="s">
        <v>213</v>
      </c>
      <c r="I1020" s="261" t="s">
        <v>316</v>
      </c>
      <c r="J1020" s="261" t="s">
        <v>98</v>
      </c>
      <c r="K1020" s="277" t="s">
        <v>202</v>
      </c>
      <c r="L1020" s="257" t="s">
        <v>155</v>
      </c>
      <c r="M1020" s="257"/>
      <c r="N1020" s="257"/>
      <c r="O1020" s="257"/>
    </row>
    <row r="1021" spans="1:15" hidden="1">
      <c r="A1021" s="281">
        <v>45810</v>
      </c>
      <c r="B1021" s="257" t="s">
        <v>2034</v>
      </c>
      <c r="C1021" s="263" t="s">
        <v>177</v>
      </c>
      <c r="D1021" s="257" t="s">
        <v>117</v>
      </c>
      <c r="E1021" s="259">
        <v>15000</v>
      </c>
      <c r="F1021" s="259">
        <v>26.740709671337424</v>
      </c>
      <c r="G1021" s="269">
        <v>579.64599999999996</v>
      </c>
      <c r="H1021" s="261" t="s">
        <v>187</v>
      </c>
      <c r="I1021" s="261" t="s">
        <v>245</v>
      </c>
      <c r="J1021" s="261" t="s">
        <v>98</v>
      </c>
      <c r="K1021" s="277" t="s">
        <v>202</v>
      </c>
      <c r="L1021" s="257" t="s">
        <v>155</v>
      </c>
      <c r="M1021" s="257"/>
      <c r="N1021" s="257"/>
      <c r="O1021" s="257"/>
    </row>
    <row r="1022" spans="1:15" hidden="1">
      <c r="A1022" s="281">
        <v>45810</v>
      </c>
      <c r="B1022" s="282" t="s">
        <v>1903</v>
      </c>
      <c r="C1022" s="257" t="s">
        <v>127</v>
      </c>
      <c r="D1022" s="258" t="s">
        <v>442</v>
      </c>
      <c r="E1022" s="259">
        <v>155200</v>
      </c>
      <c r="F1022" s="259">
        <v>276.67720939943786</v>
      </c>
      <c r="G1022" s="260">
        <v>560.94248000000005</v>
      </c>
      <c r="H1022" s="261" t="s">
        <v>148</v>
      </c>
      <c r="I1022" s="261" t="s">
        <v>129</v>
      </c>
      <c r="J1022" s="261" t="s">
        <v>98</v>
      </c>
      <c r="K1022" s="274" t="s">
        <v>1902</v>
      </c>
      <c r="L1022" s="283" t="s">
        <v>155</v>
      </c>
      <c r="M1022" s="257"/>
      <c r="N1022" s="257"/>
      <c r="O1022" s="257"/>
    </row>
    <row r="1023" spans="1:15" hidden="1">
      <c r="A1023" s="281">
        <v>45810</v>
      </c>
      <c r="B1023" s="282" t="s">
        <v>1524</v>
      </c>
      <c r="C1023" s="257" t="s">
        <v>123</v>
      </c>
      <c r="D1023" s="257" t="s">
        <v>117</v>
      </c>
      <c r="E1023" s="259">
        <v>150000</v>
      </c>
      <c r="F1023" s="259">
        <v>267.40709671337424</v>
      </c>
      <c r="G1023" s="269">
        <v>579.64599999999996</v>
      </c>
      <c r="H1023" s="261" t="s">
        <v>148</v>
      </c>
      <c r="I1023" s="261" t="s">
        <v>130</v>
      </c>
      <c r="J1023" s="261" t="s">
        <v>98</v>
      </c>
      <c r="K1023" s="277" t="s">
        <v>202</v>
      </c>
      <c r="L1023" s="257" t="s">
        <v>155</v>
      </c>
      <c r="M1023" s="257"/>
      <c r="N1023" s="257"/>
      <c r="O1023" s="257"/>
    </row>
    <row r="1024" spans="1:15" hidden="1">
      <c r="A1024" s="284">
        <v>45811</v>
      </c>
      <c r="B1024" s="257" t="s">
        <v>3024</v>
      </c>
      <c r="C1024" s="257" t="s">
        <v>174</v>
      </c>
      <c r="D1024" s="258" t="s">
        <v>442</v>
      </c>
      <c r="E1024" s="259">
        <v>28000</v>
      </c>
      <c r="F1024" s="259">
        <v>49.915991386496522</v>
      </c>
      <c r="G1024" s="269">
        <v>579.64599999999996</v>
      </c>
      <c r="H1024" s="261" t="s">
        <v>184</v>
      </c>
      <c r="I1024" s="261" t="s">
        <v>1967</v>
      </c>
      <c r="J1024" s="261" t="s">
        <v>98</v>
      </c>
      <c r="K1024" s="277" t="s">
        <v>202</v>
      </c>
      <c r="L1024" s="257" t="s">
        <v>155</v>
      </c>
      <c r="M1024" s="257"/>
      <c r="N1024" s="257"/>
      <c r="O1024" s="257"/>
    </row>
    <row r="1025" spans="1:15" hidden="1">
      <c r="A1025" s="281">
        <v>45811</v>
      </c>
      <c r="B1025" s="257" t="s">
        <v>1913</v>
      </c>
      <c r="C1025" s="264" t="s">
        <v>2086</v>
      </c>
      <c r="D1025" s="257" t="s">
        <v>118</v>
      </c>
      <c r="E1025" s="259">
        <v>5675</v>
      </c>
      <c r="F1025" s="259">
        <v>10.116901825655992</v>
      </c>
      <c r="G1025" s="269">
        <v>579.64599999999996</v>
      </c>
      <c r="H1025" s="261" t="s">
        <v>583</v>
      </c>
      <c r="I1025" s="261" t="s">
        <v>164</v>
      </c>
      <c r="J1025" s="261" t="s">
        <v>98</v>
      </c>
      <c r="K1025" s="277" t="s">
        <v>202</v>
      </c>
      <c r="L1025" s="257" t="s">
        <v>155</v>
      </c>
      <c r="M1025" s="257"/>
      <c r="N1025" s="257"/>
      <c r="O1025" s="257"/>
    </row>
    <row r="1026" spans="1:15" hidden="1">
      <c r="A1026" s="281">
        <v>45811</v>
      </c>
      <c r="B1026" s="257" t="s">
        <v>3236</v>
      </c>
      <c r="C1026" s="263" t="s">
        <v>177</v>
      </c>
      <c r="D1026" s="258" t="s">
        <v>442</v>
      </c>
      <c r="E1026" s="259">
        <v>45000</v>
      </c>
      <c r="F1026" s="259">
        <v>80.222129014012268</v>
      </c>
      <c r="G1026" s="269">
        <v>579.64599999999996</v>
      </c>
      <c r="H1026" s="261" t="s">
        <v>184</v>
      </c>
      <c r="I1026" s="261" t="s">
        <v>1968</v>
      </c>
      <c r="J1026" s="261" t="s">
        <v>98</v>
      </c>
      <c r="K1026" s="277" t="s">
        <v>202</v>
      </c>
      <c r="L1026" s="257" t="s">
        <v>155</v>
      </c>
      <c r="M1026" s="257"/>
      <c r="N1026" s="257"/>
      <c r="O1026" s="257"/>
    </row>
    <row r="1027" spans="1:15" hidden="1">
      <c r="A1027" s="281">
        <v>45811</v>
      </c>
      <c r="B1027" s="257" t="s">
        <v>3082</v>
      </c>
      <c r="C1027" s="263" t="s">
        <v>177</v>
      </c>
      <c r="D1027" s="258" t="s">
        <v>442</v>
      </c>
      <c r="E1027" s="259">
        <v>30000</v>
      </c>
      <c r="F1027" s="259">
        <v>53.481419342674847</v>
      </c>
      <c r="G1027" s="269">
        <v>579.64599999999996</v>
      </c>
      <c r="H1027" s="261" t="s">
        <v>175</v>
      </c>
      <c r="I1027" s="261" t="s">
        <v>243</v>
      </c>
      <c r="J1027" s="261" t="s">
        <v>98</v>
      </c>
      <c r="K1027" s="277" t="s">
        <v>202</v>
      </c>
      <c r="L1027" s="257" t="s">
        <v>155</v>
      </c>
      <c r="M1027" s="257"/>
      <c r="N1027" s="257"/>
      <c r="O1027" s="257"/>
    </row>
    <row r="1028" spans="1:15" hidden="1">
      <c r="A1028" s="281">
        <v>45811</v>
      </c>
      <c r="B1028" s="257" t="s">
        <v>3237</v>
      </c>
      <c r="C1028" s="257" t="s">
        <v>174</v>
      </c>
      <c r="D1028" s="258" t="s">
        <v>442</v>
      </c>
      <c r="E1028" s="259">
        <v>28000</v>
      </c>
      <c r="F1028" s="259">
        <v>49.915991386496522</v>
      </c>
      <c r="G1028" s="269">
        <v>579.64599999999996</v>
      </c>
      <c r="H1028" s="261" t="s">
        <v>175</v>
      </c>
      <c r="I1028" s="261" t="s">
        <v>285</v>
      </c>
      <c r="J1028" s="261" t="s">
        <v>98</v>
      </c>
      <c r="K1028" s="277" t="s">
        <v>202</v>
      </c>
      <c r="L1028" s="257" t="s">
        <v>155</v>
      </c>
      <c r="M1028" s="257"/>
      <c r="N1028" s="257"/>
      <c r="O1028" s="257"/>
    </row>
    <row r="1029" spans="1:15" hidden="1">
      <c r="A1029" s="281">
        <v>45811</v>
      </c>
      <c r="B1029" s="257" t="s">
        <v>1980</v>
      </c>
      <c r="C1029" s="257" t="s">
        <v>365</v>
      </c>
      <c r="D1029" s="258" t="s">
        <v>442</v>
      </c>
      <c r="E1029" s="259">
        <v>1500</v>
      </c>
      <c r="F1029" s="259">
        <v>2.6740709671337424</v>
      </c>
      <c r="G1029" s="269">
        <v>579.64599999999996</v>
      </c>
      <c r="H1029" s="261" t="s">
        <v>317</v>
      </c>
      <c r="I1029" s="261" t="s">
        <v>318</v>
      </c>
      <c r="J1029" s="261" t="s">
        <v>98</v>
      </c>
      <c r="K1029" s="277" t="s">
        <v>202</v>
      </c>
      <c r="L1029" s="257" t="s">
        <v>155</v>
      </c>
      <c r="M1029" s="257"/>
      <c r="N1029" s="257"/>
      <c r="O1029" s="257"/>
    </row>
    <row r="1030" spans="1:15" hidden="1">
      <c r="A1030" s="281">
        <v>45811</v>
      </c>
      <c r="B1030" s="257" t="s">
        <v>2004</v>
      </c>
      <c r="C1030" s="257" t="s">
        <v>174</v>
      </c>
      <c r="D1030" s="257" t="s">
        <v>117</v>
      </c>
      <c r="E1030" s="259">
        <v>20000</v>
      </c>
      <c r="F1030" s="259">
        <v>35.654279561783227</v>
      </c>
      <c r="G1030" s="269">
        <v>579.64599999999996</v>
      </c>
      <c r="H1030" s="261" t="s">
        <v>193</v>
      </c>
      <c r="I1030" s="261" t="s">
        <v>160</v>
      </c>
      <c r="J1030" s="261" t="s">
        <v>98</v>
      </c>
      <c r="K1030" s="277" t="s">
        <v>202</v>
      </c>
      <c r="L1030" s="257" t="s">
        <v>155</v>
      </c>
      <c r="M1030" s="257"/>
      <c r="N1030" s="257"/>
      <c r="O1030" s="257"/>
    </row>
    <row r="1031" spans="1:15" hidden="1">
      <c r="A1031" s="281">
        <v>45811</v>
      </c>
      <c r="B1031" s="257" t="s">
        <v>2005</v>
      </c>
      <c r="C1031" s="263" t="s">
        <v>177</v>
      </c>
      <c r="D1031" s="257" t="s">
        <v>117</v>
      </c>
      <c r="E1031" s="259">
        <v>50000</v>
      </c>
      <c r="F1031" s="259">
        <v>89.135698904458081</v>
      </c>
      <c r="G1031" s="269">
        <v>579.64599999999996</v>
      </c>
      <c r="H1031" s="261" t="s">
        <v>193</v>
      </c>
      <c r="I1031" s="261" t="s">
        <v>162</v>
      </c>
      <c r="J1031" s="261" t="s">
        <v>98</v>
      </c>
      <c r="K1031" s="277" t="s">
        <v>202</v>
      </c>
      <c r="L1031" s="257" t="s">
        <v>155</v>
      </c>
      <c r="M1031" s="257"/>
      <c r="N1031" s="257"/>
      <c r="O1031" s="257"/>
    </row>
    <row r="1032" spans="1:15" hidden="1">
      <c r="A1032" s="281">
        <v>45811</v>
      </c>
      <c r="B1032" s="257" t="s">
        <v>2006</v>
      </c>
      <c r="C1032" s="257" t="s">
        <v>174</v>
      </c>
      <c r="D1032" s="257" t="s">
        <v>117</v>
      </c>
      <c r="E1032" s="259">
        <v>7000</v>
      </c>
      <c r="F1032" s="259">
        <v>12.47899784662413</v>
      </c>
      <c r="G1032" s="269">
        <v>579.64599999999996</v>
      </c>
      <c r="H1032" s="261" t="s">
        <v>193</v>
      </c>
      <c r="I1032" s="261" t="s">
        <v>254</v>
      </c>
      <c r="J1032" s="261" t="s">
        <v>98</v>
      </c>
      <c r="K1032" s="277" t="s">
        <v>202</v>
      </c>
      <c r="L1032" s="257" t="s">
        <v>155</v>
      </c>
      <c r="M1032" s="257"/>
      <c r="N1032" s="257"/>
      <c r="O1032" s="257"/>
    </row>
    <row r="1033" spans="1:15" hidden="1">
      <c r="A1033" s="281">
        <v>45811</v>
      </c>
      <c r="B1033" s="257" t="s">
        <v>1092</v>
      </c>
      <c r="C1033" s="263" t="s">
        <v>1163</v>
      </c>
      <c r="D1033" s="257" t="s">
        <v>117</v>
      </c>
      <c r="E1033" s="259">
        <v>36250</v>
      </c>
      <c r="F1033" s="259">
        <v>64.6233817057321</v>
      </c>
      <c r="G1033" s="269">
        <v>579.64599999999996</v>
      </c>
      <c r="H1033" s="261" t="s">
        <v>437</v>
      </c>
      <c r="I1033" s="261" t="s">
        <v>198</v>
      </c>
      <c r="J1033" s="261" t="s">
        <v>98</v>
      </c>
      <c r="K1033" s="277" t="s">
        <v>202</v>
      </c>
      <c r="L1033" s="257" t="s">
        <v>155</v>
      </c>
      <c r="M1033" s="257"/>
      <c r="N1033" s="257"/>
      <c r="O1033" s="257"/>
    </row>
    <row r="1034" spans="1:15" hidden="1">
      <c r="A1034" s="281">
        <v>45811</v>
      </c>
      <c r="B1034" s="257" t="s">
        <v>2069</v>
      </c>
      <c r="C1034" s="257" t="s">
        <v>174</v>
      </c>
      <c r="D1034" s="257" t="s">
        <v>120</v>
      </c>
      <c r="E1034" s="259">
        <v>33000</v>
      </c>
      <c r="F1034" s="259">
        <v>58.829561276942329</v>
      </c>
      <c r="G1034" s="269">
        <v>579.64599999999996</v>
      </c>
      <c r="H1034" s="261" t="s">
        <v>213</v>
      </c>
      <c r="I1034" s="261" t="s">
        <v>214</v>
      </c>
      <c r="J1034" s="261" t="s">
        <v>98</v>
      </c>
      <c r="K1034" s="277" t="s">
        <v>202</v>
      </c>
      <c r="L1034" s="257" t="s">
        <v>155</v>
      </c>
      <c r="M1034" s="257"/>
      <c r="N1034" s="257"/>
      <c r="O1034" s="257"/>
    </row>
    <row r="1035" spans="1:15" hidden="1">
      <c r="A1035" s="281">
        <v>45811</v>
      </c>
      <c r="B1035" s="257" t="s">
        <v>2083</v>
      </c>
      <c r="C1035" s="263" t="s">
        <v>2088</v>
      </c>
      <c r="D1035" s="257" t="s">
        <v>120</v>
      </c>
      <c r="E1035" s="259">
        <v>162000</v>
      </c>
      <c r="F1035" s="259">
        <v>288.79966445044414</v>
      </c>
      <c r="G1035" s="269">
        <v>579.64599999999996</v>
      </c>
      <c r="H1035" s="261" t="s">
        <v>213</v>
      </c>
      <c r="I1035" s="261" t="s">
        <v>363</v>
      </c>
      <c r="J1035" s="261" t="s">
        <v>98</v>
      </c>
      <c r="K1035" s="277" t="s">
        <v>202</v>
      </c>
      <c r="L1035" s="257" t="s">
        <v>155</v>
      </c>
      <c r="M1035" s="257"/>
      <c r="N1035" s="257"/>
      <c r="O1035" s="257"/>
    </row>
    <row r="1036" spans="1:15" hidden="1">
      <c r="A1036" s="281">
        <v>45811</v>
      </c>
      <c r="B1036" s="257" t="s">
        <v>2035</v>
      </c>
      <c r="C1036" s="263" t="s">
        <v>177</v>
      </c>
      <c r="D1036" s="257" t="s">
        <v>117</v>
      </c>
      <c r="E1036" s="259">
        <v>15000</v>
      </c>
      <c r="F1036" s="259">
        <v>26.740709671337424</v>
      </c>
      <c r="G1036" s="269">
        <v>579.64599999999996</v>
      </c>
      <c r="H1036" s="261" t="s">
        <v>187</v>
      </c>
      <c r="I1036" s="261" t="s">
        <v>246</v>
      </c>
      <c r="J1036" s="261" t="s">
        <v>98</v>
      </c>
      <c r="K1036" s="277" t="s">
        <v>202</v>
      </c>
      <c r="L1036" s="257" t="s">
        <v>155</v>
      </c>
      <c r="M1036" s="257"/>
      <c r="N1036" s="257"/>
      <c r="O1036" s="257"/>
    </row>
    <row r="1037" spans="1:15" hidden="1">
      <c r="A1037" s="281">
        <v>45812</v>
      </c>
      <c r="B1037" s="257" t="s">
        <v>1951</v>
      </c>
      <c r="C1037" s="257" t="s">
        <v>127</v>
      </c>
      <c r="D1037" s="257" t="s">
        <v>119</v>
      </c>
      <c r="E1037" s="259">
        <v>174625</v>
      </c>
      <c r="F1037" s="259">
        <v>311.30642842381985</v>
      </c>
      <c r="G1037" s="260">
        <v>560.94248000000005</v>
      </c>
      <c r="H1037" s="261" t="s">
        <v>153</v>
      </c>
      <c r="I1037" s="261" t="s">
        <v>154</v>
      </c>
      <c r="J1037" s="261" t="s">
        <v>98</v>
      </c>
      <c r="K1037" s="274" t="s">
        <v>1902</v>
      </c>
      <c r="L1037" s="283" t="s">
        <v>155</v>
      </c>
      <c r="M1037" s="257"/>
      <c r="N1037" s="257"/>
      <c r="O1037" s="257"/>
    </row>
    <row r="1038" spans="1:15" hidden="1">
      <c r="A1038" s="281">
        <v>45812</v>
      </c>
      <c r="B1038" s="257" t="s">
        <v>1954</v>
      </c>
      <c r="C1038" s="263" t="s">
        <v>177</v>
      </c>
      <c r="D1038" s="257" t="s">
        <v>117</v>
      </c>
      <c r="E1038" s="259">
        <v>111000</v>
      </c>
      <c r="F1038" s="259">
        <v>197.88125156789692</v>
      </c>
      <c r="G1038" s="269">
        <v>579.64599999999996</v>
      </c>
      <c r="H1038" s="261" t="s">
        <v>1507</v>
      </c>
      <c r="I1038" s="261" t="s">
        <v>216</v>
      </c>
      <c r="J1038" s="261" t="s">
        <v>98</v>
      </c>
      <c r="K1038" s="277" t="s">
        <v>202</v>
      </c>
      <c r="L1038" s="257" t="s">
        <v>155</v>
      </c>
      <c r="M1038" s="257"/>
      <c r="N1038" s="257"/>
      <c r="O1038" s="257"/>
    </row>
    <row r="1039" spans="1:15" hidden="1">
      <c r="A1039" s="281">
        <v>45812</v>
      </c>
      <c r="B1039" s="257" t="s">
        <v>1915</v>
      </c>
      <c r="C1039" s="263" t="s">
        <v>1163</v>
      </c>
      <c r="D1039" s="257" t="s">
        <v>118</v>
      </c>
      <c r="E1039" s="259">
        <v>79500</v>
      </c>
      <c r="F1039" s="259">
        <v>141.72576125808834</v>
      </c>
      <c r="G1039" s="269">
        <v>579.64599999999996</v>
      </c>
      <c r="H1039" s="261" t="s">
        <v>583</v>
      </c>
      <c r="I1039" s="261" t="s">
        <v>168</v>
      </c>
      <c r="J1039" s="261" t="s">
        <v>98</v>
      </c>
      <c r="K1039" s="277" t="s">
        <v>202</v>
      </c>
      <c r="L1039" s="257" t="s">
        <v>155</v>
      </c>
      <c r="M1039" s="257"/>
      <c r="N1039" s="257"/>
      <c r="O1039" s="257"/>
    </row>
    <row r="1040" spans="1:15" hidden="1">
      <c r="A1040" s="281">
        <v>45812</v>
      </c>
      <c r="B1040" s="257" t="s">
        <v>1914</v>
      </c>
      <c r="C1040" s="264" t="s">
        <v>2086</v>
      </c>
      <c r="D1040" s="257" t="s">
        <v>118</v>
      </c>
      <c r="E1040" s="259">
        <v>15500</v>
      </c>
      <c r="F1040" s="259">
        <v>27.632066660382005</v>
      </c>
      <c r="G1040" s="269">
        <v>579.64599999999996</v>
      </c>
      <c r="H1040" s="261" t="s">
        <v>190</v>
      </c>
      <c r="I1040" s="261" t="s">
        <v>166</v>
      </c>
      <c r="J1040" s="261" t="s">
        <v>98</v>
      </c>
      <c r="K1040" s="277" t="s">
        <v>202</v>
      </c>
      <c r="L1040" s="257" t="s">
        <v>155</v>
      </c>
      <c r="M1040" s="257"/>
      <c r="N1040" s="257"/>
      <c r="O1040" s="257"/>
    </row>
    <row r="1041" spans="1:15" hidden="1">
      <c r="A1041" s="281">
        <v>45812</v>
      </c>
      <c r="B1041" s="257" t="s">
        <v>2007</v>
      </c>
      <c r="C1041" s="263" t="s">
        <v>177</v>
      </c>
      <c r="D1041" s="257" t="s">
        <v>117</v>
      </c>
      <c r="E1041" s="259">
        <v>20000</v>
      </c>
      <c r="F1041" s="259">
        <v>35.654279561783227</v>
      </c>
      <c r="G1041" s="269">
        <v>579.64599999999996</v>
      </c>
      <c r="H1041" s="261" t="s">
        <v>193</v>
      </c>
      <c r="I1041" s="261" t="s">
        <v>274</v>
      </c>
      <c r="J1041" s="261" t="s">
        <v>98</v>
      </c>
      <c r="K1041" s="277" t="s">
        <v>202</v>
      </c>
      <c r="L1041" s="257" t="s">
        <v>155</v>
      </c>
      <c r="M1041" s="257"/>
      <c r="N1041" s="257"/>
      <c r="O1041" s="257"/>
    </row>
    <row r="1042" spans="1:15" hidden="1">
      <c r="A1042" s="281">
        <v>45812</v>
      </c>
      <c r="B1042" s="257" t="s">
        <v>2043</v>
      </c>
      <c r="C1042" s="263" t="s">
        <v>177</v>
      </c>
      <c r="D1042" s="257" t="s">
        <v>117</v>
      </c>
      <c r="E1042" s="259">
        <v>111000</v>
      </c>
      <c r="F1042" s="259">
        <v>197.88125156789692</v>
      </c>
      <c r="G1042" s="269">
        <v>579.64599999999996</v>
      </c>
      <c r="H1042" s="261" t="s">
        <v>437</v>
      </c>
      <c r="I1042" s="261" t="s">
        <v>211</v>
      </c>
      <c r="J1042" s="261" t="s">
        <v>98</v>
      </c>
      <c r="K1042" s="277" t="s">
        <v>202</v>
      </c>
      <c r="L1042" s="257" t="s">
        <v>155</v>
      </c>
      <c r="M1042" s="257"/>
      <c r="N1042" s="257"/>
      <c r="O1042" s="257"/>
    </row>
    <row r="1043" spans="1:15" hidden="1">
      <c r="A1043" s="281">
        <v>45812</v>
      </c>
      <c r="B1043" s="257" t="s">
        <v>2070</v>
      </c>
      <c r="C1043" s="263" t="s">
        <v>177</v>
      </c>
      <c r="D1043" s="257" t="s">
        <v>120</v>
      </c>
      <c r="E1043" s="259">
        <v>40000</v>
      </c>
      <c r="F1043" s="259">
        <v>71.308559123566454</v>
      </c>
      <c r="G1043" s="269">
        <v>579.64599999999996</v>
      </c>
      <c r="H1043" s="261" t="s">
        <v>213</v>
      </c>
      <c r="I1043" s="261" t="s">
        <v>221</v>
      </c>
      <c r="J1043" s="261" t="s">
        <v>98</v>
      </c>
      <c r="K1043" s="277" t="s">
        <v>202</v>
      </c>
      <c r="L1043" s="257" t="s">
        <v>155</v>
      </c>
      <c r="M1043" s="257"/>
      <c r="N1043" s="257"/>
      <c r="O1043" s="257"/>
    </row>
    <row r="1044" spans="1:15" hidden="1">
      <c r="A1044" s="281">
        <v>45812</v>
      </c>
      <c r="B1044" s="282" t="s">
        <v>1904</v>
      </c>
      <c r="C1044" s="263" t="s">
        <v>126</v>
      </c>
      <c r="D1044" s="257" t="s">
        <v>118</v>
      </c>
      <c r="E1044" s="259">
        <v>260000</v>
      </c>
      <c r="F1044" s="259">
        <v>463.50563430318198</v>
      </c>
      <c r="G1044" s="269">
        <v>579.64599999999996</v>
      </c>
      <c r="H1044" s="261" t="s">
        <v>148</v>
      </c>
      <c r="I1044" s="261" t="s">
        <v>132</v>
      </c>
      <c r="J1044" s="261" t="s">
        <v>98</v>
      </c>
      <c r="K1044" s="277" t="s">
        <v>202</v>
      </c>
      <c r="L1044" s="257" t="s">
        <v>155</v>
      </c>
      <c r="M1044" s="257"/>
      <c r="N1044" s="257"/>
      <c r="O1044" s="257"/>
    </row>
    <row r="1045" spans="1:15" hidden="1">
      <c r="A1045" s="281">
        <v>45813</v>
      </c>
      <c r="B1045" s="257" t="s">
        <v>1916</v>
      </c>
      <c r="C1045" s="257" t="s">
        <v>174</v>
      </c>
      <c r="D1045" s="257" t="s">
        <v>118</v>
      </c>
      <c r="E1045" s="259">
        <v>18000</v>
      </c>
      <c r="F1045" s="259">
        <v>32.088851605604908</v>
      </c>
      <c r="G1045" s="269">
        <v>579.64599999999996</v>
      </c>
      <c r="H1045" s="261" t="s">
        <v>583</v>
      </c>
      <c r="I1045" s="261" t="s">
        <v>170</v>
      </c>
      <c r="J1045" s="261" t="s">
        <v>98</v>
      </c>
      <c r="K1045" s="277" t="s">
        <v>202</v>
      </c>
      <c r="L1045" s="257" t="s">
        <v>155</v>
      </c>
      <c r="M1045" s="257"/>
      <c r="N1045" s="257"/>
      <c r="O1045" s="257"/>
    </row>
    <row r="1046" spans="1:15" hidden="1">
      <c r="A1046" s="281">
        <v>45813</v>
      </c>
      <c r="B1046" s="257" t="s">
        <v>1917</v>
      </c>
      <c r="C1046" s="263" t="s">
        <v>177</v>
      </c>
      <c r="D1046" s="257" t="s">
        <v>117</v>
      </c>
      <c r="E1046" s="259">
        <v>225000</v>
      </c>
      <c r="F1046" s="259">
        <v>401.11064507006137</v>
      </c>
      <c r="G1046" s="269">
        <v>579.64599999999996</v>
      </c>
      <c r="H1046" s="261" t="s">
        <v>583</v>
      </c>
      <c r="I1046" s="261" t="s">
        <v>173</v>
      </c>
      <c r="J1046" s="261" t="s">
        <v>98</v>
      </c>
      <c r="K1046" s="277" t="s">
        <v>202</v>
      </c>
      <c r="L1046" s="257" t="s">
        <v>155</v>
      </c>
      <c r="M1046" s="257"/>
      <c r="N1046" s="257"/>
      <c r="O1046" s="257"/>
    </row>
    <row r="1047" spans="1:15" hidden="1">
      <c r="A1047" s="281">
        <v>45813</v>
      </c>
      <c r="B1047" s="257" t="s">
        <v>1918</v>
      </c>
      <c r="C1047" s="264" t="s">
        <v>2086</v>
      </c>
      <c r="D1047" s="257" t="s">
        <v>117</v>
      </c>
      <c r="E1047" s="259">
        <v>5550</v>
      </c>
      <c r="F1047" s="259">
        <v>9.8940625783948466</v>
      </c>
      <c r="G1047" s="269">
        <v>579.64599999999996</v>
      </c>
      <c r="H1047" s="261" t="s">
        <v>583</v>
      </c>
      <c r="I1047" s="261" t="s">
        <v>183</v>
      </c>
      <c r="J1047" s="261" t="s">
        <v>98</v>
      </c>
      <c r="K1047" s="277" t="s">
        <v>202</v>
      </c>
      <c r="L1047" s="257" t="s">
        <v>155</v>
      </c>
      <c r="M1047" s="257"/>
      <c r="N1047" s="257"/>
      <c r="O1047" s="257"/>
    </row>
    <row r="1048" spans="1:15" hidden="1">
      <c r="A1048" s="281">
        <v>45813</v>
      </c>
      <c r="B1048" s="257" t="s">
        <v>1919</v>
      </c>
      <c r="C1048" s="264" t="s">
        <v>2086</v>
      </c>
      <c r="D1048" s="257" t="s">
        <v>118</v>
      </c>
      <c r="E1048" s="259">
        <v>875</v>
      </c>
      <c r="F1048" s="259">
        <v>1.5598747308280163</v>
      </c>
      <c r="G1048" s="269">
        <v>579.64599999999996</v>
      </c>
      <c r="H1048" s="261" t="s">
        <v>583</v>
      </c>
      <c r="I1048" s="261" t="s">
        <v>194</v>
      </c>
      <c r="J1048" s="261" t="s">
        <v>98</v>
      </c>
      <c r="K1048" s="277" t="s">
        <v>202</v>
      </c>
      <c r="L1048" s="257" t="s">
        <v>155</v>
      </c>
      <c r="M1048" s="257"/>
      <c r="N1048" s="257"/>
      <c r="O1048" s="257"/>
    </row>
    <row r="1049" spans="1:15" hidden="1">
      <c r="A1049" s="281">
        <v>45813</v>
      </c>
      <c r="B1049" s="257" t="s">
        <v>3026</v>
      </c>
      <c r="C1049" s="263" t="s">
        <v>177</v>
      </c>
      <c r="D1049" s="258" t="s">
        <v>442</v>
      </c>
      <c r="E1049" s="259">
        <v>30000</v>
      </c>
      <c r="F1049" s="259">
        <v>53.481419342674847</v>
      </c>
      <c r="G1049" s="269">
        <v>579.64599999999996</v>
      </c>
      <c r="H1049" s="261" t="s">
        <v>184</v>
      </c>
      <c r="I1049" s="261" t="s">
        <v>1969</v>
      </c>
      <c r="J1049" s="261" t="s">
        <v>98</v>
      </c>
      <c r="K1049" s="277" t="s">
        <v>202</v>
      </c>
      <c r="L1049" s="257" t="s">
        <v>155</v>
      </c>
      <c r="M1049" s="257"/>
      <c r="N1049" s="257"/>
      <c r="O1049" s="257"/>
    </row>
    <row r="1050" spans="1:15" hidden="1">
      <c r="A1050" s="281">
        <v>45813</v>
      </c>
      <c r="B1050" s="257" t="s">
        <v>3082</v>
      </c>
      <c r="C1050" s="263" t="s">
        <v>177</v>
      </c>
      <c r="D1050" s="258" t="s">
        <v>442</v>
      </c>
      <c r="E1050" s="259">
        <v>30000</v>
      </c>
      <c r="F1050" s="259">
        <v>53.481419342674847</v>
      </c>
      <c r="G1050" s="269">
        <v>579.64599999999996</v>
      </c>
      <c r="H1050" s="261" t="s">
        <v>175</v>
      </c>
      <c r="I1050" s="261" t="s">
        <v>286</v>
      </c>
      <c r="J1050" s="261" t="s">
        <v>98</v>
      </c>
      <c r="K1050" s="277" t="s">
        <v>202</v>
      </c>
      <c r="L1050" s="257" t="s">
        <v>155</v>
      </c>
      <c r="M1050" s="257"/>
      <c r="N1050" s="257"/>
      <c r="O1050" s="257"/>
    </row>
    <row r="1051" spans="1:15" hidden="1">
      <c r="A1051" s="281">
        <v>45813</v>
      </c>
      <c r="B1051" s="257" t="s">
        <v>2009</v>
      </c>
      <c r="C1051" s="257" t="s">
        <v>1374</v>
      </c>
      <c r="D1051" s="257" t="s">
        <v>117</v>
      </c>
      <c r="E1051" s="259">
        <v>25000</v>
      </c>
      <c r="F1051" s="259">
        <v>44.567849452229041</v>
      </c>
      <c r="G1051" s="269">
        <v>579.64599999999996</v>
      </c>
      <c r="H1051" s="261" t="s">
        <v>193</v>
      </c>
      <c r="I1051" s="261" t="s">
        <v>297</v>
      </c>
      <c r="J1051" s="261" t="s">
        <v>98</v>
      </c>
      <c r="K1051" s="277" t="s">
        <v>202</v>
      </c>
      <c r="L1051" s="257" t="s">
        <v>155</v>
      </c>
      <c r="M1051" s="257"/>
      <c r="N1051" s="257"/>
      <c r="O1051" s="257"/>
    </row>
    <row r="1052" spans="1:15" hidden="1">
      <c r="A1052" s="281">
        <v>45813</v>
      </c>
      <c r="B1052" s="282" t="s">
        <v>1905</v>
      </c>
      <c r="C1052" s="263" t="s">
        <v>126</v>
      </c>
      <c r="D1052" s="257" t="s">
        <v>118</v>
      </c>
      <c r="E1052" s="259">
        <v>500000</v>
      </c>
      <c r="F1052" s="259">
        <v>891.3569890445807</v>
      </c>
      <c r="G1052" s="269">
        <v>579.64599999999996</v>
      </c>
      <c r="H1052" s="261" t="s">
        <v>148</v>
      </c>
      <c r="I1052" s="261" t="s">
        <v>133</v>
      </c>
      <c r="J1052" s="261" t="s">
        <v>98</v>
      </c>
      <c r="K1052" s="277" t="s">
        <v>202</v>
      </c>
      <c r="L1052" s="257" t="s">
        <v>155</v>
      </c>
      <c r="M1052" s="257"/>
      <c r="N1052" s="257"/>
      <c r="O1052" s="257"/>
    </row>
    <row r="1053" spans="1:15" hidden="1">
      <c r="A1053" s="281">
        <v>45814</v>
      </c>
      <c r="B1053" s="257" t="s">
        <v>2008</v>
      </c>
      <c r="C1053" s="257" t="s">
        <v>174</v>
      </c>
      <c r="D1053" s="257" t="s">
        <v>117</v>
      </c>
      <c r="E1053" s="259">
        <v>7000</v>
      </c>
      <c r="F1053" s="259">
        <v>12.47899784662413</v>
      </c>
      <c r="G1053" s="269">
        <v>579.64599999999996</v>
      </c>
      <c r="H1053" s="261" t="s">
        <v>193</v>
      </c>
      <c r="I1053" s="261" t="s">
        <v>292</v>
      </c>
      <c r="J1053" s="261" t="s">
        <v>98</v>
      </c>
      <c r="K1053" s="277" t="s">
        <v>202</v>
      </c>
      <c r="L1053" s="257" t="s">
        <v>155</v>
      </c>
      <c r="M1053" s="257"/>
      <c r="N1053" s="257"/>
      <c r="O1053" s="257"/>
    </row>
    <row r="1054" spans="1:15" hidden="1">
      <c r="A1054" s="281">
        <v>45814</v>
      </c>
      <c r="B1054" s="257" t="s">
        <v>817</v>
      </c>
      <c r="C1054" s="263" t="s">
        <v>1163</v>
      </c>
      <c r="D1054" s="257" t="s">
        <v>118</v>
      </c>
      <c r="E1054" s="259">
        <v>62500</v>
      </c>
      <c r="F1054" s="259">
        <v>111.41962363057259</v>
      </c>
      <c r="G1054" s="269">
        <v>579.64599999999996</v>
      </c>
      <c r="H1054" s="261" t="s">
        <v>175</v>
      </c>
      <c r="I1054" s="261" t="s">
        <v>209</v>
      </c>
      <c r="J1054" s="261" t="s">
        <v>98</v>
      </c>
      <c r="K1054" s="277" t="s">
        <v>202</v>
      </c>
      <c r="L1054" s="257" t="s">
        <v>155</v>
      </c>
      <c r="M1054" s="257"/>
      <c r="N1054" s="257"/>
      <c r="O1054" s="257"/>
    </row>
    <row r="1055" spans="1:15" hidden="1">
      <c r="A1055" s="281">
        <v>45814</v>
      </c>
      <c r="B1055" s="257" t="s">
        <v>1976</v>
      </c>
      <c r="C1055" s="257" t="s">
        <v>1505</v>
      </c>
      <c r="D1055" s="258" t="s">
        <v>988</v>
      </c>
      <c r="E1055" s="259">
        <v>50000</v>
      </c>
      <c r="F1055" s="259">
        <v>89.135698904458081</v>
      </c>
      <c r="G1055" s="269">
        <v>579.64599999999996</v>
      </c>
      <c r="H1055" s="261" t="s">
        <v>175</v>
      </c>
      <c r="I1055" s="261" t="s">
        <v>306</v>
      </c>
      <c r="J1055" s="261" t="s">
        <v>98</v>
      </c>
      <c r="K1055" s="277" t="s">
        <v>202</v>
      </c>
      <c r="L1055" s="257" t="s">
        <v>155</v>
      </c>
      <c r="M1055" s="257"/>
      <c r="N1055" s="257"/>
      <c r="O1055" s="257"/>
    </row>
    <row r="1056" spans="1:15" hidden="1">
      <c r="A1056" s="281">
        <v>45814</v>
      </c>
      <c r="B1056" s="257" t="s">
        <v>2010</v>
      </c>
      <c r="C1056" s="263" t="s">
        <v>177</v>
      </c>
      <c r="D1056" s="257" t="s">
        <v>117</v>
      </c>
      <c r="E1056" s="259">
        <v>30000</v>
      </c>
      <c r="F1056" s="259">
        <v>53.481419342674847</v>
      </c>
      <c r="G1056" s="269">
        <v>579.64599999999996</v>
      </c>
      <c r="H1056" s="261" t="s">
        <v>193</v>
      </c>
      <c r="I1056" s="261" t="s">
        <v>2011</v>
      </c>
      <c r="J1056" s="261" t="s">
        <v>98</v>
      </c>
      <c r="K1056" s="277" t="s">
        <v>202</v>
      </c>
      <c r="L1056" s="257" t="s">
        <v>155</v>
      </c>
      <c r="M1056" s="257"/>
      <c r="N1056" s="257"/>
      <c r="O1056" s="257"/>
    </row>
    <row r="1057" spans="1:15" hidden="1">
      <c r="A1057" s="281">
        <v>45814</v>
      </c>
      <c r="B1057" s="257" t="s">
        <v>2071</v>
      </c>
      <c r="C1057" s="263" t="s">
        <v>177</v>
      </c>
      <c r="D1057" s="257" t="s">
        <v>120</v>
      </c>
      <c r="E1057" s="259">
        <v>195000</v>
      </c>
      <c r="F1057" s="259">
        <v>347.62922572738648</v>
      </c>
      <c r="G1057" s="269">
        <v>579.64599999999996</v>
      </c>
      <c r="H1057" s="261" t="s">
        <v>213</v>
      </c>
      <c r="I1057" s="261" t="s">
        <v>263</v>
      </c>
      <c r="J1057" s="261" t="s">
        <v>98</v>
      </c>
      <c r="K1057" s="277" t="s">
        <v>202</v>
      </c>
      <c r="L1057" s="257" t="s">
        <v>155</v>
      </c>
      <c r="M1057" s="257"/>
      <c r="N1057" s="257"/>
      <c r="O1057" s="257"/>
    </row>
    <row r="1058" spans="1:15" hidden="1">
      <c r="A1058" s="281">
        <v>45814</v>
      </c>
      <c r="B1058" s="257" t="s">
        <v>2036</v>
      </c>
      <c r="C1058" s="257" t="s">
        <v>174</v>
      </c>
      <c r="D1058" s="257" t="s">
        <v>117</v>
      </c>
      <c r="E1058" s="259">
        <v>33000</v>
      </c>
      <c r="F1058" s="259">
        <v>58.829561276942329</v>
      </c>
      <c r="G1058" s="269">
        <v>579.64599999999996</v>
      </c>
      <c r="H1058" s="261" t="s">
        <v>187</v>
      </c>
      <c r="I1058" s="261" t="s">
        <v>248</v>
      </c>
      <c r="J1058" s="261" t="s">
        <v>98</v>
      </c>
      <c r="K1058" s="277" t="s">
        <v>202</v>
      </c>
      <c r="L1058" s="257" t="s">
        <v>155</v>
      </c>
      <c r="M1058" s="257"/>
      <c r="N1058" s="257"/>
      <c r="O1058" s="257"/>
    </row>
    <row r="1059" spans="1:15" hidden="1">
      <c r="A1059" s="281">
        <v>45814</v>
      </c>
      <c r="B1059" s="257" t="s">
        <v>2037</v>
      </c>
      <c r="C1059" s="263" t="s">
        <v>177</v>
      </c>
      <c r="D1059" s="257" t="s">
        <v>117</v>
      </c>
      <c r="E1059" s="259">
        <v>45000</v>
      </c>
      <c r="F1059" s="259">
        <v>80.222129014012268</v>
      </c>
      <c r="G1059" s="269">
        <v>579.64599999999996</v>
      </c>
      <c r="H1059" s="261" t="s">
        <v>187</v>
      </c>
      <c r="I1059" s="261" t="s">
        <v>311</v>
      </c>
      <c r="J1059" s="261" t="s">
        <v>98</v>
      </c>
      <c r="K1059" s="277" t="s">
        <v>202</v>
      </c>
      <c r="L1059" s="257" t="s">
        <v>155</v>
      </c>
      <c r="M1059" s="257"/>
      <c r="N1059" s="257"/>
      <c r="O1059" s="257"/>
    </row>
    <row r="1060" spans="1:15" hidden="1">
      <c r="A1060" s="281">
        <v>45814</v>
      </c>
      <c r="B1060" s="282" t="s">
        <v>1906</v>
      </c>
      <c r="C1060" s="257" t="s">
        <v>127</v>
      </c>
      <c r="D1060" s="258" t="s">
        <v>442</v>
      </c>
      <c r="E1060" s="259">
        <v>550000</v>
      </c>
      <c r="F1060" s="259">
        <v>980.49268794903878</v>
      </c>
      <c r="G1060" s="260">
        <v>560.94248000000005</v>
      </c>
      <c r="H1060" s="261" t="s">
        <v>148</v>
      </c>
      <c r="I1060" s="261" t="s">
        <v>134</v>
      </c>
      <c r="J1060" s="261" t="s">
        <v>98</v>
      </c>
      <c r="K1060" s="274" t="s">
        <v>1902</v>
      </c>
      <c r="L1060" s="283" t="s">
        <v>155</v>
      </c>
      <c r="M1060" s="257"/>
      <c r="N1060" s="257"/>
      <c r="O1060" s="257"/>
    </row>
    <row r="1061" spans="1:15" hidden="1">
      <c r="A1061" s="281">
        <v>45814</v>
      </c>
      <c r="B1061" s="282" t="s">
        <v>1907</v>
      </c>
      <c r="C1061" s="257" t="s">
        <v>127</v>
      </c>
      <c r="D1061" s="258" t="s">
        <v>442</v>
      </c>
      <c r="E1061" s="259">
        <v>355000</v>
      </c>
      <c r="F1061" s="259">
        <v>632.8634622216523</v>
      </c>
      <c r="G1061" s="260">
        <v>560.94248000000005</v>
      </c>
      <c r="H1061" s="261" t="s">
        <v>148</v>
      </c>
      <c r="I1061" s="261" t="s">
        <v>135</v>
      </c>
      <c r="J1061" s="261" t="s">
        <v>98</v>
      </c>
      <c r="K1061" s="274" t="s">
        <v>1902</v>
      </c>
      <c r="L1061" s="283" t="s">
        <v>155</v>
      </c>
      <c r="M1061" s="257"/>
      <c r="N1061" s="257"/>
      <c r="O1061" s="257"/>
    </row>
    <row r="1062" spans="1:15" hidden="1">
      <c r="A1062" s="281">
        <v>45815</v>
      </c>
      <c r="B1062" s="257" t="s">
        <v>2072</v>
      </c>
      <c r="C1062" s="263" t="s">
        <v>177</v>
      </c>
      <c r="D1062" s="257" t="s">
        <v>120</v>
      </c>
      <c r="E1062" s="259">
        <v>15000</v>
      </c>
      <c r="F1062" s="259">
        <v>26.740709671337424</v>
      </c>
      <c r="G1062" s="269">
        <v>579.64599999999996</v>
      </c>
      <c r="H1062" s="261" t="s">
        <v>213</v>
      </c>
      <c r="I1062" s="261" t="s">
        <v>276</v>
      </c>
      <c r="J1062" s="261" t="s">
        <v>98</v>
      </c>
      <c r="K1062" s="277" t="s">
        <v>202</v>
      </c>
      <c r="L1062" s="257" t="s">
        <v>155</v>
      </c>
      <c r="M1062" s="257"/>
      <c r="N1062" s="257"/>
      <c r="O1062" s="257"/>
    </row>
    <row r="1063" spans="1:15" hidden="1">
      <c r="A1063" s="281">
        <v>45815</v>
      </c>
      <c r="B1063" s="257" t="s">
        <v>2038</v>
      </c>
      <c r="C1063" s="263" t="s">
        <v>177</v>
      </c>
      <c r="D1063" s="257" t="s">
        <v>117</v>
      </c>
      <c r="E1063" s="259">
        <v>15000</v>
      </c>
      <c r="F1063" s="259">
        <v>26.740709671337424</v>
      </c>
      <c r="G1063" s="269">
        <v>579.64599999999996</v>
      </c>
      <c r="H1063" s="261" t="s">
        <v>187</v>
      </c>
      <c r="I1063" s="261" t="s">
        <v>2039</v>
      </c>
      <c r="J1063" s="261" t="s">
        <v>98</v>
      </c>
      <c r="K1063" s="277" t="s">
        <v>202</v>
      </c>
      <c r="L1063" s="257" t="s">
        <v>155</v>
      </c>
      <c r="M1063" s="257"/>
      <c r="N1063" s="257"/>
      <c r="O1063" s="257"/>
    </row>
    <row r="1064" spans="1:15" hidden="1">
      <c r="A1064" s="281">
        <v>45816</v>
      </c>
      <c r="B1064" s="257" t="s">
        <v>2073</v>
      </c>
      <c r="C1064" s="263" t="s">
        <v>177</v>
      </c>
      <c r="D1064" s="257" t="s">
        <v>120</v>
      </c>
      <c r="E1064" s="259">
        <v>15000</v>
      </c>
      <c r="F1064" s="259">
        <v>26.740709671337424</v>
      </c>
      <c r="G1064" s="269">
        <v>579.64599999999996</v>
      </c>
      <c r="H1064" s="261" t="s">
        <v>213</v>
      </c>
      <c r="I1064" s="261" t="s">
        <v>295</v>
      </c>
      <c r="J1064" s="261" t="s">
        <v>98</v>
      </c>
      <c r="K1064" s="277" t="s">
        <v>202</v>
      </c>
      <c r="L1064" s="257" t="s">
        <v>155</v>
      </c>
      <c r="M1064" s="257"/>
      <c r="N1064" s="257"/>
      <c r="O1064" s="257"/>
    </row>
    <row r="1065" spans="1:15" hidden="1">
      <c r="A1065" s="281">
        <v>45816</v>
      </c>
      <c r="B1065" s="257" t="s">
        <v>2040</v>
      </c>
      <c r="C1065" s="263" t="s">
        <v>177</v>
      </c>
      <c r="D1065" s="257" t="s">
        <v>117</v>
      </c>
      <c r="E1065" s="259">
        <v>15000</v>
      </c>
      <c r="F1065" s="259">
        <v>26.740709671337424</v>
      </c>
      <c r="G1065" s="269">
        <v>579.64599999999996</v>
      </c>
      <c r="H1065" s="261" t="s">
        <v>187</v>
      </c>
      <c r="I1065" s="261" t="s">
        <v>352</v>
      </c>
      <c r="J1065" s="261" t="s">
        <v>98</v>
      </c>
      <c r="K1065" s="277" t="s">
        <v>202</v>
      </c>
      <c r="L1065" s="257" t="s">
        <v>155</v>
      </c>
      <c r="M1065" s="257"/>
      <c r="N1065" s="257"/>
      <c r="O1065" s="257"/>
    </row>
    <row r="1066" spans="1:15" hidden="1">
      <c r="A1066" s="281">
        <v>45817</v>
      </c>
      <c r="B1066" s="257" t="s">
        <v>2006</v>
      </c>
      <c r="C1066" s="257" t="s">
        <v>174</v>
      </c>
      <c r="D1066" s="257" t="s">
        <v>117</v>
      </c>
      <c r="E1066" s="259">
        <v>7000</v>
      </c>
      <c r="F1066" s="259">
        <v>12.47899784662413</v>
      </c>
      <c r="G1066" s="269">
        <v>579.64599999999996</v>
      </c>
      <c r="H1066" s="261" t="s">
        <v>193</v>
      </c>
      <c r="I1066" s="261" t="s">
        <v>2012</v>
      </c>
      <c r="J1066" s="261" t="s">
        <v>98</v>
      </c>
      <c r="K1066" s="277" t="s">
        <v>202</v>
      </c>
      <c r="L1066" s="257" t="s">
        <v>155</v>
      </c>
      <c r="M1066" s="257"/>
      <c r="N1066" s="257"/>
      <c r="O1066" s="257"/>
    </row>
    <row r="1067" spans="1:15" hidden="1">
      <c r="A1067" s="281">
        <v>45817</v>
      </c>
      <c r="B1067" s="257" t="s">
        <v>2013</v>
      </c>
      <c r="C1067" s="257" t="s">
        <v>174</v>
      </c>
      <c r="D1067" s="257" t="s">
        <v>117</v>
      </c>
      <c r="E1067" s="259">
        <v>22000</v>
      </c>
      <c r="F1067" s="259">
        <v>39.219707517961552</v>
      </c>
      <c r="G1067" s="269">
        <v>579.64599999999996</v>
      </c>
      <c r="H1067" s="261" t="s">
        <v>193</v>
      </c>
      <c r="I1067" s="261" t="s">
        <v>217</v>
      </c>
      <c r="J1067" s="261" t="s">
        <v>98</v>
      </c>
      <c r="K1067" s="277" t="s">
        <v>202</v>
      </c>
      <c r="L1067" s="257" t="s">
        <v>155</v>
      </c>
      <c r="M1067" s="257"/>
      <c r="N1067" s="257"/>
      <c r="O1067" s="257"/>
    </row>
    <row r="1068" spans="1:15" hidden="1">
      <c r="A1068" s="281">
        <v>45817</v>
      </c>
      <c r="B1068" s="257" t="s">
        <v>2014</v>
      </c>
      <c r="C1068" s="263" t="s">
        <v>177</v>
      </c>
      <c r="D1068" s="257" t="s">
        <v>117</v>
      </c>
      <c r="E1068" s="259">
        <v>75000</v>
      </c>
      <c r="F1068" s="259">
        <v>133.70354835668712</v>
      </c>
      <c r="G1068" s="269">
        <v>579.64599999999996</v>
      </c>
      <c r="H1068" s="261" t="s">
        <v>193</v>
      </c>
      <c r="I1068" s="261" t="s">
        <v>219</v>
      </c>
      <c r="J1068" s="261" t="s">
        <v>98</v>
      </c>
      <c r="K1068" s="277" t="s">
        <v>202</v>
      </c>
      <c r="L1068" s="257" t="s">
        <v>155</v>
      </c>
      <c r="M1068" s="257"/>
      <c r="N1068" s="257"/>
      <c r="O1068" s="257"/>
    </row>
    <row r="1069" spans="1:15" hidden="1">
      <c r="A1069" s="281">
        <v>45818</v>
      </c>
      <c r="B1069" s="257" t="s">
        <v>1920</v>
      </c>
      <c r="C1069" s="257" t="s">
        <v>127</v>
      </c>
      <c r="D1069" s="257" t="s">
        <v>117</v>
      </c>
      <c r="E1069" s="259">
        <v>30000</v>
      </c>
      <c r="F1069" s="259">
        <v>53.481419342674847</v>
      </c>
      <c r="G1069" s="260">
        <v>560.94248000000005</v>
      </c>
      <c r="H1069" s="261" t="s">
        <v>190</v>
      </c>
      <c r="I1069" s="261" t="s">
        <v>371</v>
      </c>
      <c r="J1069" s="261" t="s">
        <v>98</v>
      </c>
      <c r="K1069" s="274" t="s">
        <v>1902</v>
      </c>
      <c r="L1069" s="283" t="s">
        <v>155</v>
      </c>
      <c r="M1069" s="257"/>
      <c r="N1069" s="257"/>
      <c r="O1069" s="257"/>
    </row>
    <row r="1070" spans="1:15" hidden="1">
      <c r="A1070" s="281">
        <v>45818</v>
      </c>
      <c r="B1070" s="257" t="s">
        <v>1986</v>
      </c>
      <c r="C1070" s="257" t="s">
        <v>174</v>
      </c>
      <c r="D1070" s="257" t="s">
        <v>117</v>
      </c>
      <c r="E1070" s="259">
        <v>8000</v>
      </c>
      <c r="F1070" s="259">
        <v>14.261711824713291</v>
      </c>
      <c r="G1070" s="269">
        <v>579.64599999999996</v>
      </c>
      <c r="H1070" s="261" t="s">
        <v>190</v>
      </c>
      <c r="I1070" s="261" t="s">
        <v>191</v>
      </c>
      <c r="J1070" s="261" t="s">
        <v>98</v>
      </c>
      <c r="K1070" s="277" t="s">
        <v>202</v>
      </c>
      <c r="L1070" s="257" t="s">
        <v>155</v>
      </c>
      <c r="M1070" s="257"/>
      <c r="N1070" s="257"/>
      <c r="O1070" s="257"/>
    </row>
    <row r="1071" spans="1:15" hidden="1">
      <c r="A1071" s="281">
        <v>45819</v>
      </c>
      <c r="B1071" s="257" t="s">
        <v>1987</v>
      </c>
      <c r="C1071" s="263" t="s">
        <v>177</v>
      </c>
      <c r="D1071" s="257" t="s">
        <v>117</v>
      </c>
      <c r="E1071" s="259">
        <v>30000</v>
      </c>
      <c r="F1071" s="259">
        <v>53.481419342674847</v>
      </c>
      <c r="G1071" s="269">
        <v>579.64599999999996</v>
      </c>
      <c r="H1071" s="261" t="s">
        <v>190</v>
      </c>
      <c r="I1071" s="261" t="s">
        <v>207</v>
      </c>
      <c r="J1071" s="261" t="s">
        <v>98</v>
      </c>
      <c r="K1071" s="277" t="s">
        <v>202</v>
      </c>
      <c r="L1071" s="257" t="s">
        <v>155</v>
      </c>
      <c r="M1071" s="257"/>
      <c r="N1071" s="257"/>
      <c r="O1071" s="257"/>
    </row>
    <row r="1072" spans="1:15" hidden="1">
      <c r="A1072" s="281">
        <v>45819</v>
      </c>
      <c r="B1072" s="257" t="s">
        <v>1988</v>
      </c>
      <c r="C1072" s="257" t="s">
        <v>174</v>
      </c>
      <c r="D1072" s="257" t="s">
        <v>117</v>
      </c>
      <c r="E1072" s="259">
        <v>4000</v>
      </c>
      <c r="F1072" s="259">
        <v>7.1308559123566457</v>
      </c>
      <c r="G1072" s="269">
        <v>579.64599999999996</v>
      </c>
      <c r="H1072" s="261" t="s">
        <v>190</v>
      </c>
      <c r="I1072" s="261" t="s">
        <v>250</v>
      </c>
      <c r="J1072" s="261" t="s">
        <v>98</v>
      </c>
      <c r="K1072" s="277" t="s">
        <v>202</v>
      </c>
      <c r="L1072" s="257" t="s">
        <v>155</v>
      </c>
      <c r="M1072" s="257"/>
      <c r="N1072" s="257"/>
      <c r="O1072" s="257"/>
    </row>
    <row r="1073" spans="1:15" hidden="1">
      <c r="A1073" s="281">
        <v>45819</v>
      </c>
      <c r="B1073" s="257" t="s">
        <v>2015</v>
      </c>
      <c r="C1073" s="263" t="s">
        <v>177</v>
      </c>
      <c r="D1073" s="257" t="s">
        <v>117</v>
      </c>
      <c r="E1073" s="259">
        <v>30000</v>
      </c>
      <c r="F1073" s="259">
        <v>53.481419342674847</v>
      </c>
      <c r="G1073" s="269">
        <v>579.64599999999996</v>
      </c>
      <c r="H1073" s="261" t="s">
        <v>193</v>
      </c>
      <c r="I1073" s="261" t="s">
        <v>290</v>
      </c>
      <c r="J1073" s="261" t="s">
        <v>98</v>
      </c>
      <c r="K1073" s="277" t="s">
        <v>202</v>
      </c>
      <c r="L1073" s="257" t="s">
        <v>155</v>
      </c>
      <c r="M1073" s="257"/>
      <c r="N1073" s="257"/>
      <c r="O1073" s="257"/>
    </row>
    <row r="1074" spans="1:15" hidden="1">
      <c r="A1074" s="281">
        <v>45819</v>
      </c>
      <c r="B1074" s="257" t="s">
        <v>1922</v>
      </c>
      <c r="C1074" s="257" t="s">
        <v>127</v>
      </c>
      <c r="D1074" s="257" t="s">
        <v>120</v>
      </c>
      <c r="E1074" s="259">
        <v>20000</v>
      </c>
      <c r="F1074" s="259">
        <v>35.654279561783227</v>
      </c>
      <c r="G1074" s="260">
        <v>560.94248000000005</v>
      </c>
      <c r="H1074" s="261" t="s">
        <v>213</v>
      </c>
      <c r="I1074" s="261" t="s">
        <v>373</v>
      </c>
      <c r="J1074" s="261" t="s">
        <v>98</v>
      </c>
      <c r="K1074" s="274" t="s">
        <v>1902</v>
      </c>
      <c r="L1074" s="283" t="s">
        <v>155</v>
      </c>
      <c r="M1074" s="257"/>
      <c r="N1074" s="257"/>
      <c r="O1074" s="257"/>
    </row>
    <row r="1075" spans="1:15" hidden="1">
      <c r="A1075" s="281">
        <v>45819</v>
      </c>
      <c r="B1075" s="257" t="s">
        <v>1923</v>
      </c>
      <c r="C1075" s="257" t="s">
        <v>265</v>
      </c>
      <c r="D1075" s="257" t="s">
        <v>2087</v>
      </c>
      <c r="E1075" s="259">
        <v>40000</v>
      </c>
      <c r="F1075" s="259">
        <v>71.308559123566454</v>
      </c>
      <c r="G1075" s="269">
        <v>579.64599999999996</v>
      </c>
      <c r="H1075" s="261" t="s">
        <v>213</v>
      </c>
      <c r="I1075" s="261" t="s">
        <v>419</v>
      </c>
      <c r="J1075" s="261" t="s">
        <v>98</v>
      </c>
      <c r="K1075" s="277" t="s">
        <v>202</v>
      </c>
      <c r="L1075" s="257" t="s">
        <v>155</v>
      </c>
      <c r="M1075" s="257"/>
      <c r="N1075" s="257"/>
      <c r="O1075" s="257"/>
    </row>
    <row r="1076" spans="1:15" hidden="1">
      <c r="A1076" s="281">
        <v>45819</v>
      </c>
      <c r="B1076" s="257" t="s">
        <v>2041</v>
      </c>
      <c r="C1076" s="257" t="s">
        <v>174</v>
      </c>
      <c r="D1076" s="257" t="s">
        <v>117</v>
      </c>
      <c r="E1076" s="259">
        <v>22500</v>
      </c>
      <c r="F1076" s="259">
        <v>40.111064507006134</v>
      </c>
      <c r="G1076" s="269">
        <v>579.64599999999996</v>
      </c>
      <c r="H1076" s="261" t="s">
        <v>187</v>
      </c>
      <c r="I1076" s="261" t="s">
        <v>314</v>
      </c>
      <c r="J1076" s="261" t="s">
        <v>98</v>
      </c>
      <c r="K1076" s="277" t="s">
        <v>202</v>
      </c>
      <c r="L1076" s="257" t="s">
        <v>155</v>
      </c>
      <c r="M1076" s="257"/>
      <c r="N1076" s="257"/>
      <c r="O1076" s="257"/>
    </row>
    <row r="1077" spans="1:15" hidden="1">
      <c r="A1077" s="281">
        <v>45819</v>
      </c>
      <c r="B1077" s="257" t="s">
        <v>1921</v>
      </c>
      <c r="C1077" s="264" t="s">
        <v>2086</v>
      </c>
      <c r="D1077" s="257" t="s">
        <v>118</v>
      </c>
      <c r="E1077" s="259">
        <v>9600</v>
      </c>
      <c r="F1077" s="259">
        <v>17.114054189655949</v>
      </c>
      <c r="G1077" s="269">
        <v>579.64599999999996</v>
      </c>
      <c r="H1077" s="261" t="s">
        <v>187</v>
      </c>
      <c r="I1077" s="261" t="s">
        <v>225</v>
      </c>
      <c r="J1077" s="261" t="s">
        <v>98</v>
      </c>
      <c r="K1077" s="277" t="s">
        <v>202</v>
      </c>
      <c r="L1077" s="257" t="s">
        <v>155</v>
      </c>
      <c r="M1077" s="257"/>
      <c r="N1077" s="257"/>
      <c r="O1077" s="257"/>
    </row>
    <row r="1078" spans="1:15" hidden="1">
      <c r="A1078" s="281">
        <v>45819</v>
      </c>
      <c r="B1078" s="257" t="s">
        <v>1924</v>
      </c>
      <c r="C1078" s="257" t="s">
        <v>127</v>
      </c>
      <c r="D1078" s="257" t="s">
        <v>117</v>
      </c>
      <c r="E1078" s="259">
        <v>30000</v>
      </c>
      <c r="F1078" s="259">
        <v>53.481419342674847</v>
      </c>
      <c r="G1078" s="260">
        <v>560.94248000000005</v>
      </c>
      <c r="H1078" s="261" t="s">
        <v>187</v>
      </c>
      <c r="I1078" s="261" t="s">
        <v>1925</v>
      </c>
      <c r="J1078" s="261" t="s">
        <v>98</v>
      </c>
      <c r="K1078" s="274" t="s">
        <v>1902</v>
      </c>
      <c r="L1078" s="283" t="s">
        <v>155</v>
      </c>
      <c r="M1078" s="257"/>
      <c r="N1078" s="257"/>
      <c r="O1078" s="257"/>
    </row>
    <row r="1079" spans="1:15" hidden="1">
      <c r="A1079" s="281">
        <v>45819</v>
      </c>
      <c r="B1079" s="257" t="s">
        <v>2042</v>
      </c>
      <c r="C1079" s="257" t="s">
        <v>127</v>
      </c>
      <c r="D1079" s="257" t="s">
        <v>117</v>
      </c>
      <c r="E1079" s="259">
        <v>127070</v>
      </c>
      <c r="F1079" s="259">
        <v>226.52946519578975</v>
      </c>
      <c r="G1079" s="260">
        <v>560.94248000000005</v>
      </c>
      <c r="H1079" s="261" t="s">
        <v>187</v>
      </c>
      <c r="I1079" s="261" t="s">
        <v>1926</v>
      </c>
      <c r="J1079" s="261" t="s">
        <v>98</v>
      </c>
      <c r="K1079" s="274" t="s">
        <v>1902</v>
      </c>
      <c r="L1079" s="283" t="s">
        <v>155</v>
      </c>
      <c r="M1079" s="257"/>
      <c r="N1079" s="257"/>
      <c r="O1079" s="257"/>
    </row>
    <row r="1080" spans="1:15" hidden="1">
      <c r="A1080" s="281">
        <v>45820</v>
      </c>
      <c r="B1080" s="257" t="s">
        <v>1927</v>
      </c>
      <c r="C1080" s="263" t="s">
        <v>1542</v>
      </c>
      <c r="D1080" s="257" t="s">
        <v>118</v>
      </c>
      <c r="E1080" s="259">
        <v>18000</v>
      </c>
      <c r="F1080" s="259">
        <v>32.088851605604908</v>
      </c>
      <c r="G1080" s="269">
        <v>579.64599999999996</v>
      </c>
      <c r="H1080" s="261" t="s">
        <v>583</v>
      </c>
      <c r="I1080" s="261" t="s">
        <v>227</v>
      </c>
      <c r="J1080" s="261" t="s">
        <v>98</v>
      </c>
      <c r="K1080" s="277" t="s">
        <v>202</v>
      </c>
      <c r="L1080" s="257" t="s">
        <v>155</v>
      </c>
      <c r="M1080" s="257"/>
      <c r="N1080" s="257"/>
      <c r="O1080" s="257"/>
    </row>
    <row r="1081" spans="1:15" hidden="1">
      <c r="A1081" s="281">
        <v>45820</v>
      </c>
      <c r="B1081" s="257" t="s">
        <v>1928</v>
      </c>
      <c r="C1081" s="257" t="s">
        <v>127</v>
      </c>
      <c r="D1081" s="257" t="s">
        <v>119</v>
      </c>
      <c r="E1081" s="259">
        <v>30000</v>
      </c>
      <c r="F1081" s="259">
        <v>53.481419342674847</v>
      </c>
      <c r="G1081" s="260">
        <v>560.94248000000005</v>
      </c>
      <c r="H1081" s="261" t="s">
        <v>583</v>
      </c>
      <c r="I1081" s="261" t="s">
        <v>1929</v>
      </c>
      <c r="J1081" s="261" t="s">
        <v>98</v>
      </c>
      <c r="K1081" s="274" t="s">
        <v>1902</v>
      </c>
      <c r="L1081" s="283" t="s">
        <v>155</v>
      </c>
      <c r="M1081" s="257"/>
      <c r="N1081" s="257"/>
      <c r="O1081" s="257"/>
    </row>
    <row r="1082" spans="1:15" hidden="1">
      <c r="A1082" s="281">
        <v>45820</v>
      </c>
      <c r="B1082" s="282" t="s">
        <v>1908</v>
      </c>
      <c r="C1082" s="257" t="s">
        <v>127</v>
      </c>
      <c r="D1082" s="257" t="s">
        <v>117</v>
      </c>
      <c r="E1082" s="259">
        <v>220293</v>
      </c>
      <c r="F1082" s="259">
        <v>392.71941037519565</v>
      </c>
      <c r="G1082" s="260">
        <v>560.94248000000005</v>
      </c>
      <c r="H1082" s="261" t="s">
        <v>148</v>
      </c>
      <c r="I1082" s="261" t="s">
        <v>136</v>
      </c>
      <c r="J1082" s="261" t="s">
        <v>98</v>
      </c>
      <c r="K1082" s="274" t="s">
        <v>1902</v>
      </c>
      <c r="L1082" s="283" t="s">
        <v>155</v>
      </c>
      <c r="M1082" s="257"/>
      <c r="N1082" s="257"/>
      <c r="O1082" s="257"/>
    </row>
    <row r="1083" spans="1:15" hidden="1">
      <c r="A1083" s="281">
        <v>45821</v>
      </c>
      <c r="B1083" s="257" t="s">
        <v>2044</v>
      </c>
      <c r="C1083" s="257" t="s">
        <v>196</v>
      </c>
      <c r="D1083" s="257" t="s">
        <v>117</v>
      </c>
      <c r="E1083" s="259">
        <v>33000</v>
      </c>
      <c r="F1083" s="259">
        <v>58.829561276942329</v>
      </c>
      <c r="G1083" s="269">
        <v>579.64599999999996</v>
      </c>
      <c r="H1083" s="261" t="s">
        <v>437</v>
      </c>
      <c r="I1083" s="261" t="s">
        <v>259</v>
      </c>
      <c r="J1083" s="261" t="s">
        <v>98</v>
      </c>
      <c r="K1083" s="277" t="s">
        <v>202</v>
      </c>
      <c r="L1083" s="257" t="s">
        <v>155</v>
      </c>
      <c r="M1083" s="257"/>
      <c r="N1083" s="257"/>
      <c r="O1083" s="257"/>
    </row>
    <row r="1084" spans="1:15" hidden="1">
      <c r="A1084" s="281">
        <v>45821</v>
      </c>
      <c r="B1084" s="257" t="s">
        <v>1955</v>
      </c>
      <c r="C1084" s="257" t="s">
        <v>174</v>
      </c>
      <c r="D1084" s="257" t="s">
        <v>117</v>
      </c>
      <c r="E1084" s="259">
        <v>33000</v>
      </c>
      <c r="F1084" s="259">
        <v>58.829561276942329</v>
      </c>
      <c r="G1084" s="269">
        <v>579.64599999999996</v>
      </c>
      <c r="H1084" s="261" t="s">
        <v>1507</v>
      </c>
      <c r="I1084" s="261" t="s">
        <v>201</v>
      </c>
      <c r="J1084" s="261" t="s">
        <v>98</v>
      </c>
      <c r="K1084" s="277" t="s">
        <v>202</v>
      </c>
      <c r="L1084" s="257" t="s">
        <v>155</v>
      </c>
      <c r="M1084" s="257"/>
      <c r="N1084" s="257"/>
      <c r="O1084" s="257"/>
    </row>
    <row r="1085" spans="1:15" hidden="1">
      <c r="A1085" s="281">
        <v>45821</v>
      </c>
      <c r="B1085" s="257" t="s">
        <v>1956</v>
      </c>
      <c r="C1085" s="263" t="s">
        <v>177</v>
      </c>
      <c r="D1085" s="257" t="s">
        <v>117</v>
      </c>
      <c r="E1085" s="259">
        <v>255000</v>
      </c>
      <c r="F1085" s="259">
        <v>454.59206441273619</v>
      </c>
      <c r="G1085" s="269">
        <v>579.64599999999996</v>
      </c>
      <c r="H1085" s="261" t="s">
        <v>1507</v>
      </c>
      <c r="I1085" s="261" t="s">
        <v>223</v>
      </c>
      <c r="J1085" s="261" t="s">
        <v>98</v>
      </c>
      <c r="K1085" s="277" t="s">
        <v>202</v>
      </c>
      <c r="L1085" s="257" t="s">
        <v>155</v>
      </c>
      <c r="M1085" s="257"/>
      <c r="N1085" s="257"/>
      <c r="O1085" s="257"/>
    </row>
    <row r="1086" spans="1:15" hidden="1">
      <c r="A1086" s="281">
        <v>45821</v>
      </c>
      <c r="B1086" s="257" t="s">
        <v>1930</v>
      </c>
      <c r="C1086" s="264" t="s">
        <v>2086</v>
      </c>
      <c r="D1086" s="257" t="s">
        <v>118</v>
      </c>
      <c r="E1086" s="259">
        <v>1600</v>
      </c>
      <c r="F1086" s="259">
        <v>2.8523423649426585</v>
      </c>
      <c r="G1086" s="269">
        <v>579.64599999999996</v>
      </c>
      <c r="H1086" s="261" t="s">
        <v>583</v>
      </c>
      <c r="I1086" s="261" t="s">
        <v>257</v>
      </c>
      <c r="J1086" s="261" t="s">
        <v>98</v>
      </c>
      <c r="K1086" s="277" t="s">
        <v>202</v>
      </c>
      <c r="L1086" s="257" t="s">
        <v>155</v>
      </c>
      <c r="M1086" s="257"/>
      <c r="N1086" s="257"/>
      <c r="O1086" s="257"/>
    </row>
    <row r="1087" spans="1:15" hidden="1">
      <c r="A1087" s="281">
        <v>45821</v>
      </c>
      <c r="B1087" s="257" t="s">
        <v>2045</v>
      </c>
      <c r="C1087" s="263" t="s">
        <v>177</v>
      </c>
      <c r="D1087" s="257" t="s">
        <v>117</v>
      </c>
      <c r="E1087" s="259">
        <v>420000</v>
      </c>
      <c r="F1087" s="259">
        <v>748.73987079744779</v>
      </c>
      <c r="G1087" s="269">
        <v>579.64599999999996</v>
      </c>
      <c r="H1087" s="261" t="s">
        <v>437</v>
      </c>
      <c r="I1087" s="261" t="s">
        <v>261</v>
      </c>
      <c r="J1087" s="261" t="s">
        <v>98</v>
      </c>
      <c r="K1087" s="277" t="s">
        <v>202</v>
      </c>
      <c r="L1087" s="257" t="s">
        <v>155</v>
      </c>
      <c r="M1087" s="257"/>
      <c r="N1087" s="257"/>
      <c r="O1087" s="257"/>
    </row>
    <row r="1088" spans="1:15" hidden="1">
      <c r="A1088" s="281">
        <v>45822</v>
      </c>
      <c r="B1088" s="257" t="s">
        <v>2008</v>
      </c>
      <c r="C1088" s="257" t="s">
        <v>174</v>
      </c>
      <c r="D1088" s="257" t="s">
        <v>117</v>
      </c>
      <c r="E1088" s="259">
        <v>7000</v>
      </c>
      <c r="F1088" s="259">
        <v>12.47899784662413</v>
      </c>
      <c r="G1088" s="269">
        <v>579.64599999999996</v>
      </c>
      <c r="H1088" s="261" t="s">
        <v>193</v>
      </c>
      <c r="I1088" s="261" t="s">
        <v>2016</v>
      </c>
      <c r="J1088" s="261" t="s">
        <v>98</v>
      </c>
      <c r="K1088" s="277" t="s">
        <v>202</v>
      </c>
      <c r="L1088" s="257" t="s">
        <v>155</v>
      </c>
      <c r="M1088" s="257"/>
      <c r="N1088" s="257"/>
      <c r="O1088" s="257"/>
    </row>
    <row r="1089" spans="1:15" hidden="1">
      <c r="A1089" s="281">
        <v>45822</v>
      </c>
      <c r="B1089" s="257" t="s">
        <v>1957</v>
      </c>
      <c r="C1089" s="263" t="s">
        <v>177</v>
      </c>
      <c r="D1089" s="257" t="s">
        <v>117</v>
      </c>
      <c r="E1089" s="259">
        <v>15000</v>
      </c>
      <c r="F1089" s="259">
        <v>26.740709671337424</v>
      </c>
      <c r="G1089" s="269">
        <v>579.64599999999996</v>
      </c>
      <c r="H1089" s="261" t="s">
        <v>1507</v>
      </c>
      <c r="I1089" s="261" t="s">
        <v>229</v>
      </c>
      <c r="J1089" s="261" t="s">
        <v>98</v>
      </c>
      <c r="K1089" s="277" t="s">
        <v>202</v>
      </c>
      <c r="L1089" s="257" t="s">
        <v>155</v>
      </c>
      <c r="M1089" s="257"/>
      <c r="N1089" s="257"/>
      <c r="O1089" s="257"/>
    </row>
    <row r="1090" spans="1:15" hidden="1">
      <c r="A1090" s="281">
        <v>45822</v>
      </c>
      <c r="B1090" s="257" t="s">
        <v>1989</v>
      </c>
      <c r="C1090" s="263" t="s">
        <v>177</v>
      </c>
      <c r="D1090" s="257" t="s">
        <v>117</v>
      </c>
      <c r="E1090" s="259">
        <v>45000</v>
      </c>
      <c r="F1090" s="259">
        <v>80.222129014012268</v>
      </c>
      <c r="G1090" s="269">
        <v>579.64599999999996</v>
      </c>
      <c r="H1090" s="261" t="s">
        <v>190</v>
      </c>
      <c r="I1090" s="261" t="s">
        <v>252</v>
      </c>
      <c r="J1090" s="261" t="s">
        <v>98</v>
      </c>
      <c r="K1090" s="277" t="s">
        <v>202</v>
      </c>
      <c r="L1090" s="257" t="s">
        <v>155</v>
      </c>
      <c r="M1090" s="257"/>
      <c r="N1090" s="257"/>
      <c r="O1090" s="257"/>
    </row>
    <row r="1091" spans="1:15" hidden="1">
      <c r="A1091" s="281">
        <v>45822</v>
      </c>
      <c r="B1091" s="257" t="s">
        <v>1990</v>
      </c>
      <c r="C1091" s="257" t="s">
        <v>174</v>
      </c>
      <c r="D1091" s="257" t="s">
        <v>117</v>
      </c>
      <c r="E1091" s="259">
        <v>5000</v>
      </c>
      <c r="F1091" s="259">
        <v>8.9135698904458067</v>
      </c>
      <c r="G1091" s="269">
        <v>579.64599999999996</v>
      </c>
      <c r="H1091" s="261" t="s">
        <v>190</v>
      </c>
      <c r="I1091" s="261" t="s">
        <v>272</v>
      </c>
      <c r="J1091" s="261" t="s">
        <v>98</v>
      </c>
      <c r="K1091" s="277" t="s">
        <v>202</v>
      </c>
      <c r="L1091" s="257" t="s">
        <v>155</v>
      </c>
      <c r="M1091" s="257"/>
      <c r="N1091" s="257"/>
      <c r="O1091" s="257"/>
    </row>
    <row r="1092" spans="1:15" hidden="1">
      <c r="A1092" s="281">
        <v>45822</v>
      </c>
      <c r="B1092" s="257" t="s">
        <v>1991</v>
      </c>
      <c r="C1092" s="257" t="s">
        <v>174</v>
      </c>
      <c r="D1092" s="257" t="s">
        <v>117</v>
      </c>
      <c r="E1092" s="259">
        <v>7000</v>
      </c>
      <c r="F1092" s="259">
        <v>12.47899784662413</v>
      </c>
      <c r="G1092" s="269">
        <v>579.64599999999996</v>
      </c>
      <c r="H1092" s="261" t="s">
        <v>190</v>
      </c>
      <c r="I1092" s="261" t="s">
        <v>288</v>
      </c>
      <c r="J1092" s="261" t="s">
        <v>98</v>
      </c>
      <c r="K1092" s="277" t="s">
        <v>202</v>
      </c>
      <c r="L1092" s="257" t="s">
        <v>155</v>
      </c>
      <c r="M1092" s="257"/>
      <c r="N1092" s="257"/>
      <c r="O1092" s="257"/>
    </row>
    <row r="1093" spans="1:15" hidden="1">
      <c r="A1093" s="281">
        <v>45822</v>
      </c>
      <c r="B1093" s="257" t="s">
        <v>2017</v>
      </c>
      <c r="C1093" s="263" t="s">
        <v>177</v>
      </c>
      <c r="D1093" s="257" t="s">
        <v>117</v>
      </c>
      <c r="E1093" s="259">
        <v>45000</v>
      </c>
      <c r="F1093" s="259">
        <v>80.222129014012268</v>
      </c>
      <c r="G1093" s="269">
        <v>579.64599999999996</v>
      </c>
      <c r="H1093" s="261" t="s">
        <v>193</v>
      </c>
      <c r="I1093" s="261" t="s">
        <v>2018</v>
      </c>
      <c r="J1093" s="261" t="s">
        <v>98</v>
      </c>
      <c r="K1093" s="277" t="s">
        <v>202</v>
      </c>
      <c r="L1093" s="257" t="s">
        <v>155</v>
      </c>
      <c r="M1093" s="257"/>
      <c r="N1093" s="257"/>
      <c r="O1093" s="257"/>
    </row>
    <row r="1094" spans="1:15" hidden="1">
      <c r="A1094" s="281">
        <v>45822</v>
      </c>
      <c r="B1094" s="257" t="s">
        <v>2046</v>
      </c>
      <c r="C1094" s="263" t="s">
        <v>177</v>
      </c>
      <c r="D1094" s="257" t="s">
        <v>117</v>
      </c>
      <c r="E1094" s="259">
        <v>15000</v>
      </c>
      <c r="F1094" s="259">
        <v>26.740709671337424</v>
      </c>
      <c r="G1094" s="269">
        <v>579.64599999999996</v>
      </c>
      <c r="H1094" s="261" t="s">
        <v>437</v>
      </c>
      <c r="I1094" s="261" t="s">
        <v>293</v>
      </c>
      <c r="J1094" s="261" t="s">
        <v>98</v>
      </c>
      <c r="K1094" s="277" t="s">
        <v>202</v>
      </c>
      <c r="L1094" s="257" t="s">
        <v>155</v>
      </c>
      <c r="M1094" s="257"/>
      <c r="N1094" s="257"/>
      <c r="O1094" s="257"/>
    </row>
    <row r="1095" spans="1:15" hidden="1">
      <c r="A1095" s="281">
        <v>45823</v>
      </c>
      <c r="B1095" s="257" t="s">
        <v>1958</v>
      </c>
      <c r="C1095" s="263" t="s">
        <v>177</v>
      </c>
      <c r="D1095" s="257" t="s">
        <v>117</v>
      </c>
      <c r="E1095" s="259">
        <v>15000</v>
      </c>
      <c r="F1095" s="259">
        <v>26.740709671337424</v>
      </c>
      <c r="G1095" s="269">
        <v>579.64599999999996</v>
      </c>
      <c r="H1095" s="261" t="s">
        <v>1507</v>
      </c>
      <c r="I1095" s="261" t="s">
        <v>266</v>
      </c>
      <c r="J1095" s="261" t="s">
        <v>98</v>
      </c>
      <c r="K1095" s="277" t="s">
        <v>202</v>
      </c>
      <c r="L1095" s="257" t="s">
        <v>155</v>
      </c>
      <c r="M1095" s="257"/>
      <c r="N1095" s="257"/>
      <c r="O1095" s="257"/>
    </row>
    <row r="1096" spans="1:15" hidden="1">
      <c r="A1096" s="281">
        <v>45823</v>
      </c>
      <c r="B1096" s="257" t="s">
        <v>2047</v>
      </c>
      <c r="C1096" s="263" t="s">
        <v>177</v>
      </c>
      <c r="D1096" s="257" t="s">
        <v>117</v>
      </c>
      <c r="E1096" s="259">
        <v>15000</v>
      </c>
      <c r="F1096" s="259">
        <v>26.740709671337424</v>
      </c>
      <c r="G1096" s="269">
        <v>579.64599999999996</v>
      </c>
      <c r="H1096" s="261" t="s">
        <v>437</v>
      </c>
      <c r="I1096" s="261" t="s">
        <v>299</v>
      </c>
      <c r="J1096" s="261" t="s">
        <v>98</v>
      </c>
      <c r="K1096" s="277" t="s">
        <v>202</v>
      </c>
      <c r="L1096" s="257" t="s">
        <v>155</v>
      </c>
      <c r="M1096" s="257"/>
      <c r="N1096" s="257"/>
      <c r="O1096" s="257"/>
    </row>
    <row r="1097" spans="1:15" hidden="1">
      <c r="A1097" s="281">
        <v>45824</v>
      </c>
      <c r="B1097" s="257" t="s">
        <v>1952</v>
      </c>
      <c r="C1097" s="257" t="s">
        <v>152</v>
      </c>
      <c r="D1097" s="257" t="s">
        <v>119</v>
      </c>
      <c r="E1097" s="259">
        <v>10000</v>
      </c>
      <c r="F1097" s="259">
        <v>17.827139780891613</v>
      </c>
      <c r="G1097" s="269">
        <v>579.64599999999996</v>
      </c>
      <c r="H1097" s="261" t="s">
        <v>153</v>
      </c>
      <c r="I1097" s="261" t="s">
        <v>180</v>
      </c>
      <c r="J1097" s="261" t="s">
        <v>98</v>
      </c>
      <c r="K1097" s="277" t="s">
        <v>202</v>
      </c>
      <c r="L1097" s="257" t="s">
        <v>155</v>
      </c>
      <c r="M1097" s="257"/>
      <c r="N1097" s="257"/>
      <c r="O1097" s="257"/>
    </row>
    <row r="1098" spans="1:15" hidden="1">
      <c r="A1098" s="281">
        <v>45824</v>
      </c>
      <c r="B1098" s="257" t="s">
        <v>1931</v>
      </c>
      <c r="C1098" s="257" t="s">
        <v>127</v>
      </c>
      <c r="D1098" s="257" t="s">
        <v>117</v>
      </c>
      <c r="E1098" s="259">
        <v>30000</v>
      </c>
      <c r="F1098" s="259">
        <v>53.481419342674847</v>
      </c>
      <c r="G1098" s="260">
        <v>560.94248000000005</v>
      </c>
      <c r="H1098" s="261" t="s">
        <v>1507</v>
      </c>
      <c r="I1098" s="261" t="s">
        <v>1932</v>
      </c>
      <c r="J1098" s="261" t="s">
        <v>98</v>
      </c>
      <c r="K1098" s="274" t="s">
        <v>1902</v>
      </c>
      <c r="L1098" s="283" t="s">
        <v>155</v>
      </c>
      <c r="M1098" s="257"/>
      <c r="N1098" s="257"/>
      <c r="O1098" s="257"/>
    </row>
    <row r="1099" spans="1:15" hidden="1">
      <c r="A1099" s="281">
        <v>45824</v>
      </c>
      <c r="B1099" s="257" t="s">
        <v>1933</v>
      </c>
      <c r="C1099" s="257" t="s">
        <v>265</v>
      </c>
      <c r="D1099" s="257" t="s">
        <v>2087</v>
      </c>
      <c r="E1099" s="259">
        <v>50000</v>
      </c>
      <c r="F1099" s="259">
        <v>89.135698904458081</v>
      </c>
      <c r="G1099" s="269">
        <v>579.64599999999996</v>
      </c>
      <c r="H1099" s="261" t="s">
        <v>1507</v>
      </c>
      <c r="I1099" s="261" t="s">
        <v>1934</v>
      </c>
      <c r="J1099" s="261" t="s">
        <v>98</v>
      </c>
      <c r="K1099" s="277" t="s">
        <v>202</v>
      </c>
      <c r="L1099" s="257" t="s">
        <v>155</v>
      </c>
      <c r="M1099" s="257"/>
      <c r="N1099" s="257"/>
      <c r="O1099" s="257"/>
    </row>
    <row r="1100" spans="1:15" hidden="1">
      <c r="A1100" s="281">
        <v>45824</v>
      </c>
      <c r="B1100" s="257" t="s">
        <v>1959</v>
      </c>
      <c r="C1100" s="257" t="s">
        <v>152</v>
      </c>
      <c r="D1100" s="257" t="s">
        <v>117</v>
      </c>
      <c r="E1100" s="259">
        <v>5000</v>
      </c>
      <c r="F1100" s="259">
        <v>8.9135698904458067</v>
      </c>
      <c r="G1100" s="269">
        <v>579.64599999999996</v>
      </c>
      <c r="H1100" s="261" t="s">
        <v>1507</v>
      </c>
      <c r="I1100" s="261" t="s">
        <v>268</v>
      </c>
      <c r="J1100" s="261" t="s">
        <v>98</v>
      </c>
      <c r="K1100" s="277" t="s">
        <v>202</v>
      </c>
      <c r="L1100" s="257" t="s">
        <v>155</v>
      </c>
      <c r="M1100" s="257"/>
      <c r="N1100" s="257"/>
      <c r="O1100" s="257"/>
    </row>
    <row r="1101" spans="1:15" hidden="1">
      <c r="A1101" s="281">
        <v>45824</v>
      </c>
      <c r="B1101" s="257" t="s">
        <v>1960</v>
      </c>
      <c r="C1101" s="257" t="s">
        <v>152</v>
      </c>
      <c r="D1101" s="257" t="s">
        <v>117</v>
      </c>
      <c r="E1101" s="259">
        <v>5000</v>
      </c>
      <c r="F1101" s="259">
        <v>8.9135698904458067</v>
      </c>
      <c r="G1101" s="269">
        <v>579.64599999999996</v>
      </c>
      <c r="H1101" s="261" t="s">
        <v>1507</v>
      </c>
      <c r="I1101" s="261" t="s">
        <v>337</v>
      </c>
      <c r="J1101" s="261" t="s">
        <v>98</v>
      </c>
      <c r="K1101" s="277" t="s">
        <v>202</v>
      </c>
      <c r="L1101" s="257" t="s">
        <v>155</v>
      </c>
      <c r="M1101" s="257"/>
      <c r="N1101" s="257"/>
      <c r="O1101" s="257"/>
    </row>
    <row r="1102" spans="1:15" hidden="1">
      <c r="A1102" s="281">
        <v>45824</v>
      </c>
      <c r="B1102" s="257" t="s">
        <v>1962</v>
      </c>
      <c r="C1102" s="257" t="s">
        <v>152</v>
      </c>
      <c r="D1102" s="257" t="s">
        <v>119</v>
      </c>
      <c r="E1102" s="259">
        <v>10000</v>
      </c>
      <c r="F1102" s="259">
        <v>17.827139780891613</v>
      </c>
      <c r="G1102" s="269">
        <v>579.64599999999996</v>
      </c>
      <c r="H1102" s="261" t="s">
        <v>583</v>
      </c>
      <c r="I1102" s="261" t="s">
        <v>1963</v>
      </c>
      <c r="J1102" s="261" t="s">
        <v>98</v>
      </c>
      <c r="K1102" s="277" t="s">
        <v>202</v>
      </c>
      <c r="L1102" s="257" t="s">
        <v>155</v>
      </c>
      <c r="M1102" s="257"/>
      <c r="N1102" s="257"/>
      <c r="O1102" s="257"/>
    </row>
    <row r="1103" spans="1:15" hidden="1">
      <c r="A1103" s="281">
        <v>45824</v>
      </c>
      <c r="B1103" s="257" t="s">
        <v>1970</v>
      </c>
      <c r="C1103" s="257" t="s">
        <v>152</v>
      </c>
      <c r="D1103" s="258" t="s">
        <v>442</v>
      </c>
      <c r="E1103" s="259">
        <v>10000</v>
      </c>
      <c r="F1103" s="259">
        <v>17.827139780891613</v>
      </c>
      <c r="G1103" s="269">
        <v>579.64599999999996</v>
      </c>
      <c r="H1103" s="261" t="s">
        <v>184</v>
      </c>
      <c r="I1103" s="261" t="s">
        <v>1971</v>
      </c>
      <c r="J1103" s="261" t="s">
        <v>98</v>
      </c>
      <c r="K1103" s="277" t="s">
        <v>202</v>
      </c>
      <c r="L1103" s="257" t="s">
        <v>155</v>
      </c>
      <c r="M1103" s="257"/>
      <c r="N1103" s="257"/>
      <c r="O1103" s="257"/>
    </row>
    <row r="1104" spans="1:15" hidden="1">
      <c r="A1104" s="281">
        <v>45824</v>
      </c>
      <c r="B1104" s="257" t="s">
        <v>1972</v>
      </c>
      <c r="C1104" s="257" t="s">
        <v>152</v>
      </c>
      <c r="D1104" s="258" t="s">
        <v>442</v>
      </c>
      <c r="E1104" s="259">
        <v>5000</v>
      </c>
      <c r="F1104" s="259">
        <v>8.9135698904458067</v>
      </c>
      <c r="G1104" s="269">
        <v>579.64599999999996</v>
      </c>
      <c r="H1104" s="261" t="s">
        <v>184</v>
      </c>
      <c r="I1104" s="261" t="s">
        <v>1973</v>
      </c>
      <c r="J1104" s="261" t="s">
        <v>98</v>
      </c>
      <c r="K1104" s="277" t="s">
        <v>202</v>
      </c>
      <c r="L1104" s="257" t="s">
        <v>155</v>
      </c>
      <c r="M1104" s="257"/>
      <c r="N1104" s="257"/>
      <c r="O1104" s="257"/>
    </row>
    <row r="1105" spans="1:15" hidden="1">
      <c r="A1105" s="281">
        <v>45824</v>
      </c>
      <c r="B1105" s="257" t="s">
        <v>1977</v>
      </c>
      <c r="C1105" s="257" t="s">
        <v>152</v>
      </c>
      <c r="D1105" s="258" t="s">
        <v>442</v>
      </c>
      <c r="E1105" s="259">
        <v>15000</v>
      </c>
      <c r="F1105" s="259">
        <v>26.740709671337424</v>
      </c>
      <c r="G1105" s="269">
        <v>579.64599999999996</v>
      </c>
      <c r="H1105" s="261" t="s">
        <v>175</v>
      </c>
      <c r="I1105" s="261" t="s">
        <v>342</v>
      </c>
      <c r="J1105" s="261" t="s">
        <v>98</v>
      </c>
      <c r="K1105" s="277" t="s">
        <v>202</v>
      </c>
      <c r="L1105" s="257" t="s">
        <v>155</v>
      </c>
      <c r="M1105" s="257"/>
      <c r="N1105" s="257"/>
      <c r="O1105" s="257"/>
    </row>
    <row r="1106" spans="1:15" hidden="1">
      <c r="A1106" s="281">
        <v>45824</v>
      </c>
      <c r="B1106" s="257" t="s">
        <v>1981</v>
      </c>
      <c r="C1106" s="257" t="s">
        <v>152</v>
      </c>
      <c r="D1106" s="258" t="s">
        <v>442</v>
      </c>
      <c r="E1106" s="259">
        <v>15000</v>
      </c>
      <c r="F1106" s="259">
        <v>26.740709671337424</v>
      </c>
      <c r="G1106" s="269">
        <v>579.64599999999996</v>
      </c>
      <c r="H1106" s="261" t="s">
        <v>317</v>
      </c>
      <c r="I1106" s="261" t="s">
        <v>319</v>
      </c>
      <c r="J1106" s="261" t="s">
        <v>98</v>
      </c>
      <c r="K1106" s="277" t="s">
        <v>202</v>
      </c>
      <c r="L1106" s="257" t="s">
        <v>155</v>
      </c>
      <c r="M1106" s="257"/>
      <c r="N1106" s="257"/>
      <c r="O1106" s="257"/>
    </row>
    <row r="1107" spans="1:15" hidden="1">
      <c r="A1107" s="281">
        <v>45824</v>
      </c>
      <c r="B1107" s="257" t="s">
        <v>1983</v>
      </c>
      <c r="C1107" s="257" t="s">
        <v>152</v>
      </c>
      <c r="D1107" s="258" t="s">
        <v>442</v>
      </c>
      <c r="E1107" s="259">
        <v>5000</v>
      </c>
      <c r="F1107" s="259">
        <v>8.9135698904458067</v>
      </c>
      <c r="G1107" s="269">
        <v>579.64599999999996</v>
      </c>
      <c r="H1107" s="261" t="s">
        <v>323</v>
      </c>
      <c r="I1107" s="261" t="s">
        <v>324</v>
      </c>
      <c r="J1107" s="261" t="s">
        <v>98</v>
      </c>
      <c r="K1107" s="277" t="s">
        <v>202</v>
      </c>
      <c r="L1107" s="257" t="s">
        <v>155</v>
      </c>
      <c r="M1107" s="257"/>
      <c r="N1107" s="257"/>
      <c r="O1107" s="257"/>
    </row>
    <row r="1108" spans="1:15" hidden="1">
      <c r="A1108" s="281">
        <v>45824</v>
      </c>
      <c r="B1108" s="257" t="s">
        <v>1984</v>
      </c>
      <c r="C1108" s="257" t="s">
        <v>152</v>
      </c>
      <c r="D1108" s="258" t="s">
        <v>442</v>
      </c>
      <c r="E1108" s="259">
        <v>10000</v>
      </c>
      <c r="F1108" s="259">
        <v>17.827139780891613</v>
      </c>
      <c r="G1108" s="269">
        <v>579.64599999999996</v>
      </c>
      <c r="H1108" s="261" t="s">
        <v>323</v>
      </c>
      <c r="I1108" s="261" t="s">
        <v>344</v>
      </c>
      <c r="J1108" s="261" t="s">
        <v>98</v>
      </c>
      <c r="K1108" s="277" t="s">
        <v>202</v>
      </c>
      <c r="L1108" s="257" t="s">
        <v>155</v>
      </c>
      <c r="M1108" s="257"/>
      <c r="N1108" s="257"/>
      <c r="O1108" s="257"/>
    </row>
    <row r="1109" spans="1:15" hidden="1">
      <c r="A1109" s="281">
        <v>45824</v>
      </c>
      <c r="B1109" s="257" t="s">
        <v>1992</v>
      </c>
      <c r="C1109" s="257" t="s">
        <v>152</v>
      </c>
      <c r="D1109" s="257" t="s">
        <v>117</v>
      </c>
      <c r="E1109" s="259">
        <v>5000</v>
      </c>
      <c r="F1109" s="259">
        <v>8.9135698904458067</v>
      </c>
      <c r="G1109" s="269">
        <v>579.64599999999996</v>
      </c>
      <c r="H1109" s="261" t="s">
        <v>190</v>
      </c>
      <c r="I1109" s="261" t="s">
        <v>1993</v>
      </c>
      <c r="J1109" s="261" t="s">
        <v>98</v>
      </c>
      <c r="K1109" s="277" t="s">
        <v>202</v>
      </c>
      <c r="L1109" s="257" t="s">
        <v>155</v>
      </c>
      <c r="M1109" s="257"/>
      <c r="N1109" s="257"/>
      <c r="O1109" s="257"/>
    </row>
    <row r="1110" spans="1:15" hidden="1">
      <c r="A1110" s="281">
        <v>45824</v>
      </c>
      <c r="B1110" s="257" t="s">
        <v>1994</v>
      </c>
      <c r="C1110" s="257" t="s">
        <v>152</v>
      </c>
      <c r="D1110" s="257" t="s">
        <v>117</v>
      </c>
      <c r="E1110" s="259">
        <v>5000</v>
      </c>
      <c r="F1110" s="259">
        <v>8.9135698904458067</v>
      </c>
      <c r="G1110" s="269">
        <v>579.64599999999996</v>
      </c>
      <c r="H1110" s="261" t="s">
        <v>190</v>
      </c>
      <c r="I1110" s="261" t="s">
        <v>1995</v>
      </c>
      <c r="J1110" s="261" t="s">
        <v>98</v>
      </c>
      <c r="K1110" s="277" t="s">
        <v>202</v>
      </c>
      <c r="L1110" s="257" t="s">
        <v>155</v>
      </c>
      <c r="M1110" s="257"/>
      <c r="N1110" s="257"/>
      <c r="O1110" s="257"/>
    </row>
    <row r="1111" spans="1:15" hidden="1">
      <c r="A1111" s="281">
        <v>45824</v>
      </c>
      <c r="B1111" s="257" t="s">
        <v>2019</v>
      </c>
      <c r="C1111" s="257" t="s">
        <v>152</v>
      </c>
      <c r="D1111" s="257" t="s">
        <v>117</v>
      </c>
      <c r="E1111" s="259">
        <v>10000</v>
      </c>
      <c r="F1111" s="259">
        <v>17.827139780891613</v>
      </c>
      <c r="G1111" s="269">
        <v>579.64599999999996</v>
      </c>
      <c r="H1111" s="261" t="s">
        <v>193</v>
      </c>
      <c r="I1111" s="261" t="s">
        <v>2020</v>
      </c>
      <c r="J1111" s="261" t="s">
        <v>98</v>
      </c>
      <c r="K1111" s="277" t="s">
        <v>202</v>
      </c>
      <c r="L1111" s="257" t="s">
        <v>155</v>
      </c>
      <c r="M1111" s="257"/>
      <c r="N1111" s="257"/>
      <c r="O1111" s="257"/>
    </row>
    <row r="1112" spans="1:15" hidden="1">
      <c r="A1112" s="281">
        <v>45824</v>
      </c>
      <c r="B1112" s="257" t="s">
        <v>1939</v>
      </c>
      <c r="C1112" s="257" t="s">
        <v>127</v>
      </c>
      <c r="D1112" s="257" t="s">
        <v>117</v>
      </c>
      <c r="E1112" s="259">
        <v>30000</v>
      </c>
      <c r="F1112" s="259">
        <v>53.481419342674847</v>
      </c>
      <c r="G1112" s="260">
        <v>560.94248000000005</v>
      </c>
      <c r="H1112" s="261" t="s">
        <v>193</v>
      </c>
      <c r="I1112" s="261" t="s">
        <v>1940</v>
      </c>
      <c r="J1112" s="261" t="s">
        <v>98</v>
      </c>
      <c r="K1112" s="274" t="s">
        <v>1902</v>
      </c>
      <c r="L1112" s="283" t="s">
        <v>155</v>
      </c>
      <c r="M1112" s="257"/>
      <c r="N1112" s="257"/>
      <c r="O1112" s="257"/>
    </row>
    <row r="1113" spans="1:15" hidden="1">
      <c r="A1113" s="281">
        <v>45824</v>
      </c>
      <c r="B1113" s="257" t="s">
        <v>2048</v>
      </c>
      <c r="C1113" s="257" t="s">
        <v>152</v>
      </c>
      <c r="D1113" s="257" t="s">
        <v>117</v>
      </c>
      <c r="E1113" s="259">
        <v>10000</v>
      </c>
      <c r="F1113" s="259">
        <v>17.827139780891613</v>
      </c>
      <c r="G1113" s="269">
        <v>579.64599999999996</v>
      </c>
      <c r="H1113" s="261" t="s">
        <v>437</v>
      </c>
      <c r="I1113" s="261" t="s">
        <v>2049</v>
      </c>
      <c r="J1113" s="261" t="s">
        <v>98</v>
      </c>
      <c r="K1113" s="277" t="s">
        <v>202</v>
      </c>
      <c r="L1113" s="257" t="s">
        <v>155</v>
      </c>
      <c r="M1113" s="257"/>
      <c r="N1113" s="257"/>
      <c r="O1113" s="257"/>
    </row>
    <row r="1114" spans="1:15" hidden="1">
      <c r="A1114" s="281">
        <v>45824</v>
      </c>
      <c r="B1114" s="257" t="s">
        <v>1935</v>
      </c>
      <c r="C1114" s="257" t="s">
        <v>127</v>
      </c>
      <c r="D1114" s="257" t="s">
        <v>117</v>
      </c>
      <c r="E1114" s="259">
        <v>30000</v>
      </c>
      <c r="F1114" s="259">
        <v>53.481419342674847</v>
      </c>
      <c r="G1114" s="260">
        <v>560.94248000000005</v>
      </c>
      <c r="H1114" s="261" t="s">
        <v>437</v>
      </c>
      <c r="I1114" s="261" t="s">
        <v>1936</v>
      </c>
      <c r="J1114" s="261" t="s">
        <v>98</v>
      </c>
      <c r="K1114" s="274" t="s">
        <v>1902</v>
      </c>
      <c r="L1114" s="283" t="s">
        <v>155</v>
      </c>
      <c r="M1114" s="257"/>
      <c r="N1114" s="257"/>
      <c r="O1114" s="257"/>
    </row>
    <row r="1115" spans="1:15" hidden="1">
      <c r="A1115" s="281">
        <v>45824</v>
      </c>
      <c r="B1115" s="257" t="s">
        <v>1937</v>
      </c>
      <c r="C1115" s="257" t="s">
        <v>265</v>
      </c>
      <c r="D1115" s="257" t="s">
        <v>2087</v>
      </c>
      <c r="E1115" s="259">
        <v>40000</v>
      </c>
      <c r="F1115" s="259">
        <v>71.308559123566454</v>
      </c>
      <c r="G1115" s="269">
        <v>579.64599999999996</v>
      </c>
      <c r="H1115" s="261" t="s">
        <v>437</v>
      </c>
      <c r="I1115" s="261" t="s">
        <v>1938</v>
      </c>
      <c r="J1115" s="261" t="s">
        <v>98</v>
      </c>
      <c r="K1115" s="277" t="s">
        <v>202</v>
      </c>
      <c r="L1115" s="257" t="s">
        <v>155</v>
      </c>
      <c r="M1115" s="257"/>
      <c r="N1115" s="257"/>
      <c r="O1115" s="257"/>
    </row>
    <row r="1116" spans="1:15" hidden="1">
      <c r="A1116" s="281">
        <v>45824</v>
      </c>
      <c r="B1116" s="257" t="s">
        <v>2074</v>
      </c>
      <c r="C1116" s="257" t="s">
        <v>152</v>
      </c>
      <c r="D1116" s="257" t="s">
        <v>120</v>
      </c>
      <c r="E1116" s="259">
        <v>10000</v>
      </c>
      <c r="F1116" s="259">
        <v>17.827139780891613</v>
      </c>
      <c r="G1116" s="269">
        <v>579.64599999999996</v>
      </c>
      <c r="H1116" s="261" t="s">
        <v>213</v>
      </c>
      <c r="I1116" s="261" t="s">
        <v>2075</v>
      </c>
      <c r="J1116" s="261" t="s">
        <v>98</v>
      </c>
      <c r="K1116" s="277" t="s">
        <v>202</v>
      </c>
      <c r="L1116" s="257" t="s">
        <v>155</v>
      </c>
      <c r="M1116" s="257"/>
      <c r="N1116" s="257"/>
      <c r="O1116" s="257"/>
    </row>
    <row r="1117" spans="1:15" hidden="1">
      <c r="A1117" s="281">
        <v>45824</v>
      </c>
      <c r="B1117" s="282" t="s">
        <v>1909</v>
      </c>
      <c r="C1117" s="257" t="s">
        <v>123</v>
      </c>
      <c r="D1117" s="257" t="s">
        <v>117</v>
      </c>
      <c r="E1117" s="259">
        <v>200000</v>
      </c>
      <c r="F1117" s="259">
        <v>356.54279561783233</v>
      </c>
      <c r="G1117" s="269">
        <v>579.64599999999996</v>
      </c>
      <c r="H1117" s="261" t="s">
        <v>148</v>
      </c>
      <c r="I1117" s="261" t="s">
        <v>137</v>
      </c>
      <c r="J1117" s="261" t="s">
        <v>98</v>
      </c>
      <c r="K1117" s="277" t="s">
        <v>202</v>
      </c>
      <c r="L1117" s="257" t="s">
        <v>155</v>
      </c>
      <c r="M1117" s="257"/>
      <c r="N1117" s="257"/>
      <c r="O1117" s="257"/>
    </row>
    <row r="1118" spans="1:15" hidden="1">
      <c r="A1118" s="281">
        <v>45824</v>
      </c>
      <c r="B1118" s="282" t="s">
        <v>1910</v>
      </c>
      <c r="C1118" s="257" t="s">
        <v>123</v>
      </c>
      <c r="D1118" s="257" t="s">
        <v>117</v>
      </c>
      <c r="E1118" s="259">
        <v>300000</v>
      </c>
      <c r="F1118" s="259">
        <v>534.81419342674849</v>
      </c>
      <c r="G1118" s="269">
        <v>579.64599999999996</v>
      </c>
      <c r="H1118" s="261" t="s">
        <v>148</v>
      </c>
      <c r="I1118" s="261" t="s">
        <v>138</v>
      </c>
      <c r="J1118" s="261" t="s">
        <v>98</v>
      </c>
      <c r="K1118" s="277" t="s">
        <v>202</v>
      </c>
      <c r="L1118" s="257" t="s">
        <v>155</v>
      </c>
      <c r="M1118" s="257"/>
      <c r="N1118" s="257"/>
      <c r="O1118" s="257"/>
    </row>
    <row r="1119" spans="1:15" hidden="1">
      <c r="A1119" s="281">
        <v>45825</v>
      </c>
      <c r="B1119" s="257" t="s">
        <v>1756</v>
      </c>
      <c r="C1119" s="257" t="s">
        <v>174</v>
      </c>
      <c r="D1119" s="257" t="s">
        <v>117</v>
      </c>
      <c r="E1119" s="259">
        <v>8000</v>
      </c>
      <c r="F1119" s="259">
        <v>14.261711824713291</v>
      </c>
      <c r="G1119" s="269">
        <v>579.64599999999996</v>
      </c>
      <c r="H1119" s="261" t="s">
        <v>190</v>
      </c>
      <c r="I1119" s="261" t="s">
        <v>1996</v>
      </c>
      <c r="J1119" s="261" t="s">
        <v>98</v>
      </c>
      <c r="K1119" s="277" t="s">
        <v>202</v>
      </c>
      <c r="L1119" s="257" t="s">
        <v>155</v>
      </c>
      <c r="M1119" s="257"/>
      <c r="N1119" s="257"/>
      <c r="O1119" s="257"/>
    </row>
    <row r="1120" spans="1:15" hidden="1">
      <c r="A1120" s="281">
        <v>45825</v>
      </c>
      <c r="B1120" s="257" t="s">
        <v>1941</v>
      </c>
      <c r="C1120" s="257" t="s">
        <v>174</v>
      </c>
      <c r="D1120" s="257" t="s">
        <v>117</v>
      </c>
      <c r="E1120" s="259">
        <v>29000</v>
      </c>
      <c r="F1120" s="259">
        <v>51.698705364585685</v>
      </c>
      <c r="G1120" s="269">
        <v>579.64599999999996</v>
      </c>
      <c r="H1120" s="261" t="s">
        <v>190</v>
      </c>
      <c r="I1120" s="261" t="s">
        <v>231</v>
      </c>
      <c r="J1120" s="261" t="s">
        <v>98</v>
      </c>
      <c r="K1120" s="277" t="s">
        <v>202</v>
      </c>
      <c r="L1120" s="257" t="s">
        <v>155</v>
      </c>
      <c r="M1120" s="257"/>
      <c r="N1120" s="257"/>
      <c r="O1120" s="257"/>
    </row>
    <row r="1121" spans="1:15" hidden="1">
      <c r="A1121" s="281">
        <v>45825</v>
      </c>
      <c r="B1121" s="257" t="s">
        <v>1942</v>
      </c>
      <c r="C1121" s="263" t="s">
        <v>177</v>
      </c>
      <c r="D1121" s="257" t="s">
        <v>117</v>
      </c>
      <c r="E1121" s="259">
        <v>50000</v>
      </c>
      <c r="F1121" s="259">
        <v>89.135698904458081</v>
      </c>
      <c r="G1121" s="269">
        <v>579.64599999999996</v>
      </c>
      <c r="H1121" s="261" t="s">
        <v>190</v>
      </c>
      <c r="I1121" s="261" t="s">
        <v>233</v>
      </c>
      <c r="J1121" s="261" t="s">
        <v>98</v>
      </c>
      <c r="K1121" s="277" t="s">
        <v>202</v>
      </c>
      <c r="L1121" s="257" t="s">
        <v>155</v>
      </c>
      <c r="M1121" s="257"/>
      <c r="N1121" s="257"/>
      <c r="O1121" s="257"/>
    </row>
    <row r="1122" spans="1:15" hidden="1">
      <c r="A1122" s="281">
        <v>45826</v>
      </c>
      <c r="B1122" s="257" t="s">
        <v>1961</v>
      </c>
      <c r="C1122" s="257" t="s">
        <v>174</v>
      </c>
      <c r="D1122" s="257" t="s">
        <v>117</v>
      </c>
      <c r="E1122" s="259">
        <v>15500</v>
      </c>
      <c r="F1122" s="259">
        <v>27.632066660382005</v>
      </c>
      <c r="G1122" s="269">
        <v>579.64599999999996</v>
      </c>
      <c r="H1122" s="261" t="s">
        <v>1507</v>
      </c>
      <c r="I1122" s="261" t="s">
        <v>350</v>
      </c>
      <c r="J1122" s="261" t="s">
        <v>98</v>
      </c>
      <c r="K1122" s="277" t="s">
        <v>202</v>
      </c>
      <c r="L1122" s="257" t="s">
        <v>155</v>
      </c>
      <c r="M1122" s="257"/>
      <c r="N1122" s="257"/>
      <c r="O1122" s="257"/>
    </row>
    <row r="1123" spans="1:15" hidden="1">
      <c r="A1123" s="281">
        <v>45826</v>
      </c>
      <c r="B1123" s="257" t="s">
        <v>1997</v>
      </c>
      <c r="C1123" s="263" t="s">
        <v>177</v>
      </c>
      <c r="D1123" s="257" t="s">
        <v>117</v>
      </c>
      <c r="E1123" s="259">
        <v>20000</v>
      </c>
      <c r="F1123" s="259">
        <v>35.654279561783227</v>
      </c>
      <c r="G1123" s="269">
        <v>579.64599999999996</v>
      </c>
      <c r="H1123" s="261" t="s">
        <v>190</v>
      </c>
      <c r="I1123" s="261" t="s">
        <v>327</v>
      </c>
      <c r="J1123" s="261" t="s">
        <v>98</v>
      </c>
      <c r="K1123" s="277" t="s">
        <v>202</v>
      </c>
      <c r="L1123" s="257" t="s">
        <v>155</v>
      </c>
      <c r="M1123" s="257"/>
      <c r="N1123" s="257"/>
      <c r="O1123" s="257"/>
    </row>
    <row r="1124" spans="1:15" hidden="1">
      <c r="A1124" s="281">
        <v>45827</v>
      </c>
      <c r="B1124" s="257" t="s">
        <v>1998</v>
      </c>
      <c r="C1124" s="257" t="s">
        <v>313</v>
      </c>
      <c r="D1124" s="257" t="s">
        <v>117</v>
      </c>
      <c r="E1124" s="259">
        <v>34500</v>
      </c>
      <c r="F1124" s="259">
        <v>61.503632244076073</v>
      </c>
      <c r="G1124" s="269">
        <v>579.64599999999996</v>
      </c>
      <c r="H1124" s="261" t="s">
        <v>190</v>
      </c>
      <c r="I1124" s="261" t="s">
        <v>1999</v>
      </c>
      <c r="J1124" s="261" t="s">
        <v>98</v>
      </c>
      <c r="K1124" s="277" t="s">
        <v>202</v>
      </c>
      <c r="L1124" s="257" t="s">
        <v>155</v>
      </c>
      <c r="M1124" s="257"/>
      <c r="N1124" s="257"/>
      <c r="O1124" s="257"/>
    </row>
    <row r="1125" spans="1:15" hidden="1">
      <c r="A1125" s="281">
        <v>45827</v>
      </c>
      <c r="B1125" s="257" t="s">
        <v>2084</v>
      </c>
      <c r="C1125" s="263" t="s">
        <v>2088</v>
      </c>
      <c r="D1125" s="257" t="s">
        <v>2076</v>
      </c>
      <c r="E1125" s="259">
        <v>132000</v>
      </c>
      <c r="F1125" s="259">
        <v>235.31824510776931</v>
      </c>
      <c r="G1125" s="269">
        <v>579.64599999999996</v>
      </c>
      <c r="H1125" s="261" t="s">
        <v>213</v>
      </c>
      <c r="I1125" s="261" t="s">
        <v>1943</v>
      </c>
      <c r="J1125" s="261" t="s">
        <v>98</v>
      </c>
      <c r="K1125" s="277" t="s">
        <v>202</v>
      </c>
      <c r="L1125" s="257" t="s">
        <v>155</v>
      </c>
      <c r="M1125" s="257"/>
      <c r="N1125" s="257"/>
      <c r="O1125" s="257"/>
    </row>
    <row r="1126" spans="1:15" hidden="1">
      <c r="A1126" s="281">
        <v>45828</v>
      </c>
      <c r="B1126" s="257" t="s">
        <v>2000</v>
      </c>
      <c r="C1126" s="263" t="s">
        <v>177</v>
      </c>
      <c r="D1126" s="257" t="s">
        <v>117</v>
      </c>
      <c r="E1126" s="259">
        <v>30000</v>
      </c>
      <c r="F1126" s="259">
        <v>53.481419342674847</v>
      </c>
      <c r="G1126" s="269">
        <v>579.64599999999996</v>
      </c>
      <c r="H1126" s="261" t="s">
        <v>190</v>
      </c>
      <c r="I1126" s="261" t="s">
        <v>2001</v>
      </c>
      <c r="J1126" s="261" t="s">
        <v>98</v>
      </c>
      <c r="K1126" s="277" t="s">
        <v>202</v>
      </c>
      <c r="L1126" s="257" t="s">
        <v>155</v>
      </c>
      <c r="M1126" s="257"/>
      <c r="N1126" s="257"/>
      <c r="O1126" s="257"/>
    </row>
    <row r="1127" spans="1:15" hidden="1">
      <c r="A1127" s="281">
        <v>45828</v>
      </c>
      <c r="B1127" s="257" t="s">
        <v>2080</v>
      </c>
      <c r="C1127" s="263" t="s">
        <v>1163</v>
      </c>
      <c r="D1127" s="257" t="s">
        <v>118</v>
      </c>
      <c r="E1127" s="259">
        <v>25000</v>
      </c>
      <c r="F1127" s="259">
        <v>44.567849452229041</v>
      </c>
      <c r="G1127" s="269">
        <v>579.64599999999996</v>
      </c>
      <c r="H1127" s="261" t="s">
        <v>583</v>
      </c>
      <c r="I1127" s="261" t="s">
        <v>235</v>
      </c>
      <c r="J1127" s="261" t="s">
        <v>98</v>
      </c>
      <c r="K1127" s="277" t="s">
        <v>202</v>
      </c>
      <c r="L1127" s="257" t="s">
        <v>155</v>
      </c>
      <c r="M1127" s="257"/>
      <c r="N1127" s="257"/>
      <c r="O1127" s="257"/>
    </row>
    <row r="1128" spans="1:15" hidden="1">
      <c r="A1128" s="281">
        <v>45828</v>
      </c>
      <c r="B1128" s="257" t="s">
        <v>1974</v>
      </c>
      <c r="C1128" s="257" t="s">
        <v>174</v>
      </c>
      <c r="D1128" s="258" t="s">
        <v>442</v>
      </c>
      <c r="E1128" s="259">
        <v>32100</v>
      </c>
      <c r="F1128" s="259">
        <v>57.225118696662086</v>
      </c>
      <c r="G1128" s="269">
        <v>579.64599999999996</v>
      </c>
      <c r="H1128" s="261" t="s">
        <v>184</v>
      </c>
      <c r="I1128" s="261" t="s">
        <v>203</v>
      </c>
      <c r="J1128" s="261" t="s">
        <v>98</v>
      </c>
      <c r="K1128" s="277" t="s">
        <v>202</v>
      </c>
      <c r="L1128" s="257" t="s">
        <v>155</v>
      </c>
      <c r="M1128" s="257"/>
      <c r="N1128" s="257"/>
      <c r="O1128" s="257"/>
    </row>
    <row r="1129" spans="1:15" hidden="1">
      <c r="A1129" s="281">
        <v>45828</v>
      </c>
      <c r="B1129" s="257" t="s">
        <v>1975</v>
      </c>
      <c r="C1129" s="257" t="s">
        <v>368</v>
      </c>
      <c r="D1129" s="258" t="s">
        <v>442</v>
      </c>
      <c r="E1129" s="259">
        <v>8500</v>
      </c>
      <c r="F1129" s="259">
        <v>15.153068813757873</v>
      </c>
      <c r="G1129" s="269">
        <v>579.64599999999996</v>
      </c>
      <c r="H1129" s="261" t="s">
        <v>184</v>
      </c>
      <c r="I1129" s="261" t="s">
        <v>321</v>
      </c>
      <c r="J1129" s="261" t="s">
        <v>98</v>
      </c>
      <c r="K1129" s="277" t="s">
        <v>202</v>
      </c>
      <c r="L1129" s="257" t="s">
        <v>155</v>
      </c>
      <c r="M1129" s="257"/>
      <c r="N1129" s="257"/>
      <c r="O1129" s="257"/>
    </row>
    <row r="1130" spans="1:15" hidden="1">
      <c r="A1130" s="281">
        <v>45828</v>
      </c>
      <c r="B1130" s="257" t="s">
        <v>1982</v>
      </c>
      <c r="C1130" s="257" t="s">
        <v>174</v>
      </c>
      <c r="D1130" s="258" t="s">
        <v>442</v>
      </c>
      <c r="E1130" s="259">
        <v>50500</v>
      </c>
      <c r="F1130" s="259">
        <v>90.027055893502663</v>
      </c>
      <c r="G1130" s="269">
        <v>579.64599999999996</v>
      </c>
      <c r="H1130" s="261" t="s">
        <v>317</v>
      </c>
      <c r="I1130" s="261" t="s">
        <v>366</v>
      </c>
      <c r="J1130" s="261" t="s">
        <v>98</v>
      </c>
      <c r="K1130" s="277" t="s">
        <v>202</v>
      </c>
      <c r="L1130" s="257" t="s">
        <v>155</v>
      </c>
      <c r="M1130" s="257"/>
      <c r="N1130" s="257"/>
      <c r="O1130" s="257"/>
    </row>
    <row r="1131" spans="1:15" hidden="1">
      <c r="A1131" s="281">
        <v>45828</v>
      </c>
      <c r="B1131" s="257" t="s">
        <v>1985</v>
      </c>
      <c r="C1131" s="257" t="s">
        <v>174</v>
      </c>
      <c r="D1131" s="258" t="s">
        <v>442</v>
      </c>
      <c r="E1131" s="259">
        <v>29000</v>
      </c>
      <c r="F1131" s="259">
        <v>51.698705364585685</v>
      </c>
      <c r="G1131" s="269">
        <v>579.64599999999996</v>
      </c>
      <c r="H1131" s="261" t="s">
        <v>323</v>
      </c>
      <c r="I1131" s="261" t="s">
        <v>325</v>
      </c>
      <c r="J1131" s="261" t="s">
        <v>98</v>
      </c>
      <c r="K1131" s="277" t="s">
        <v>202</v>
      </c>
      <c r="L1131" s="257" t="s">
        <v>155</v>
      </c>
      <c r="M1131" s="257"/>
      <c r="N1131" s="257"/>
      <c r="O1131" s="257"/>
    </row>
    <row r="1132" spans="1:15" hidden="1">
      <c r="A1132" s="281">
        <v>45828</v>
      </c>
      <c r="B1132" s="257" t="s">
        <v>1944</v>
      </c>
      <c r="C1132" s="257" t="s">
        <v>174</v>
      </c>
      <c r="D1132" s="257" t="s">
        <v>117</v>
      </c>
      <c r="E1132" s="259">
        <v>82000</v>
      </c>
      <c r="F1132" s="259">
        <v>146.18254620331123</v>
      </c>
      <c r="G1132" s="269">
        <v>579.64599999999996</v>
      </c>
      <c r="H1132" s="261" t="s">
        <v>437</v>
      </c>
      <c r="I1132" s="261" t="s">
        <v>237</v>
      </c>
      <c r="J1132" s="261" t="s">
        <v>98</v>
      </c>
      <c r="K1132" s="277" t="s">
        <v>202</v>
      </c>
      <c r="L1132" s="257" t="s">
        <v>155</v>
      </c>
      <c r="M1132" s="257"/>
      <c r="N1132" s="257"/>
      <c r="O1132" s="257"/>
    </row>
    <row r="1133" spans="1:15" hidden="1">
      <c r="A1133" s="281">
        <v>45828</v>
      </c>
      <c r="B1133" s="257" t="s">
        <v>1945</v>
      </c>
      <c r="C1133" s="263" t="s">
        <v>177</v>
      </c>
      <c r="D1133" s="257" t="s">
        <v>117</v>
      </c>
      <c r="E1133" s="259">
        <v>175000</v>
      </c>
      <c r="F1133" s="259">
        <v>311.97494616560328</v>
      </c>
      <c r="G1133" s="269">
        <v>579.64599999999996</v>
      </c>
      <c r="H1133" s="261" t="s">
        <v>437</v>
      </c>
      <c r="I1133" s="261" t="s">
        <v>239</v>
      </c>
      <c r="J1133" s="261" t="s">
        <v>98</v>
      </c>
      <c r="K1133" s="277" t="s">
        <v>202</v>
      </c>
      <c r="L1133" s="257" t="s">
        <v>155</v>
      </c>
      <c r="M1133" s="257"/>
      <c r="N1133" s="257"/>
      <c r="O1133" s="257"/>
    </row>
    <row r="1134" spans="1:15" hidden="1">
      <c r="A1134" s="281">
        <v>45828</v>
      </c>
      <c r="B1134" s="257" t="s">
        <v>2077</v>
      </c>
      <c r="C1134" s="257" t="s">
        <v>174</v>
      </c>
      <c r="D1134" s="257" t="s">
        <v>120</v>
      </c>
      <c r="E1134" s="259">
        <v>22500</v>
      </c>
      <c r="F1134" s="259">
        <v>40.111064507006134</v>
      </c>
      <c r="G1134" s="269">
        <v>579.64599999999996</v>
      </c>
      <c r="H1134" s="261" t="s">
        <v>213</v>
      </c>
      <c r="I1134" s="261" t="s">
        <v>417</v>
      </c>
      <c r="J1134" s="261" t="s">
        <v>98</v>
      </c>
      <c r="K1134" s="277" t="s">
        <v>202</v>
      </c>
      <c r="L1134" s="257" t="s">
        <v>155</v>
      </c>
      <c r="M1134" s="257"/>
      <c r="N1134" s="257"/>
      <c r="O1134" s="257"/>
    </row>
    <row r="1135" spans="1:15" hidden="1">
      <c r="A1135" s="281">
        <v>45830</v>
      </c>
      <c r="B1135" s="257" t="s">
        <v>2050</v>
      </c>
      <c r="C1135" s="257" t="s">
        <v>196</v>
      </c>
      <c r="D1135" s="257" t="s">
        <v>117</v>
      </c>
      <c r="E1135" s="259">
        <v>33000</v>
      </c>
      <c r="F1135" s="259">
        <v>58.829561276942329</v>
      </c>
      <c r="G1135" s="269">
        <v>579.64599999999996</v>
      </c>
      <c r="H1135" s="261" t="s">
        <v>437</v>
      </c>
      <c r="I1135" s="261" t="s">
        <v>2051</v>
      </c>
      <c r="J1135" s="261" t="s">
        <v>98</v>
      </c>
      <c r="K1135" s="277" t="s">
        <v>202</v>
      </c>
      <c r="L1135" s="257" t="s">
        <v>155</v>
      </c>
      <c r="M1135" s="257"/>
      <c r="N1135" s="257"/>
      <c r="O1135" s="257"/>
    </row>
    <row r="1136" spans="1:15" hidden="1">
      <c r="A1136" s="281">
        <v>45830</v>
      </c>
      <c r="B1136" s="257" t="s">
        <v>2052</v>
      </c>
      <c r="C1136" s="263" t="s">
        <v>177</v>
      </c>
      <c r="D1136" s="257" t="s">
        <v>117</v>
      </c>
      <c r="E1136" s="259">
        <v>70000</v>
      </c>
      <c r="F1136" s="259">
        <v>124.78997846624131</v>
      </c>
      <c r="G1136" s="269">
        <v>579.64599999999996</v>
      </c>
      <c r="H1136" s="261" t="s">
        <v>437</v>
      </c>
      <c r="I1136" s="261" t="s">
        <v>301</v>
      </c>
      <c r="J1136" s="261" t="s">
        <v>98</v>
      </c>
      <c r="K1136" s="277" t="s">
        <v>202</v>
      </c>
      <c r="L1136" s="257" t="s">
        <v>155</v>
      </c>
      <c r="M1136" s="257"/>
      <c r="N1136" s="257"/>
      <c r="O1136" s="257"/>
    </row>
    <row r="1137" spans="1:15" hidden="1">
      <c r="A1137" s="281">
        <v>45831</v>
      </c>
      <c r="B1137" s="257" t="s">
        <v>1946</v>
      </c>
      <c r="C1137" s="257" t="s">
        <v>304</v>
      </c>
      <c r="D1137" s="257" t="s">
        <v>118</v>
      </c>
      <c r="E1137" s="259">
        <v>10000</v>
      </c>
      <c r="F1137" s="259">
        <v>17.827139780891613</v>
      </c>
      <c r="G1137" s="269">
        <v>579.64599999999996</v>
      </c>
      <c r="H1137" s="261" t="s">
        <v>583</v>
      </c>
      <c r="I1137" s="261" t="s">
        <v>241</v>
      </c>
      <c r="J1137" s="261" t="s">
        <v>98</v>
      </c>
      <c r="K1137" s="277" t="s">
        <v>202</v>
      </c>
      <c r="L1137" s="257" t="s">
        <v>155</v>
      </c>
      <c r="M1137" s="257"/>
      <c r="N1137" s="257"/>
      <c r="O1137" s="257"/>
    </row>
    <row r="1138" spans="1:15" hidden="1">
      <c r="A1138" s="281">
        <v>45831</v>
      </c>
      <c r="B1138" s="257" t="s">
        <v>1978</v>
      </c>
      <c r="C1138" s="257" t="s">
        <v>368</v>
      </c>
      <c r="D1138" s="258" t="s">
        <v>442</v>
      </c>
      <c r="E1138" s="259">
        <v>12500</v>
      </c>
      <c r="F1138" s="259">
        <v>22.28392472611452</v>
      </c>
      <c r="G1138" s="269">
        <v>579.64599999999996</v>
      </c>
      <c r="H1138" s="261" t="s">
        <v>175</v>
      </c>
      <c r="I1138" s="261" t="s">
        <v>178</v>
      </c>
      <c r="J1138" s="261" t="s">
        <v>98</v>
      </c>
      <c r="K1138" s="277" t="s">
        <v>202</v>
      </c>
      <c r="L1138" s="257" t="s">
        <v>155</v>
      </c>
      <c r="M1138" s="257"/>
      <c r="N1138" s="257"/>
      <c r="O1138" s="257"/>
    </row>
    <row r="1139" spans="1:15" hidden="1">
      <c r="A1139" s="281">
        <v>45831</v>
      </c>
      <c r="B1139" s="257" t="s">
        <v>2053</v>
      </c>
      <c r="C1139" s="263" t="s">
        <v>177</v>
      </c>
      <c r="D1139" s="257" t="s">
        <v>117</v>
      </c>
      <c r="E1139" s="259">
        <v>15000</v>
      </c>
      <c r="F1139" s="259">
        <v>26.740709671337424</v>
      </c>
      <c r="G1139" s="269">
        <v>579.64599999999996</v>
      </c>
      <c r="H1139" s="261" t="s">
        <v>437</v>
      </c>
      <c r="I1139" s="261" t="s">
        <v>2054</v>
      </c>
      <c r="J1139" s="261" t="s">
        <v>98</v>
      </c>
      <c r="K1139" s="277" t="s">
        <v>202</v>
      </c>
      <c r="L1139" s="257" t="s">
        <v>155</v>
      </c>
      <c r="M1139" s="257"/>
      <c r="N1139" s="257"/>
      <c r="O1139" s="257"/>
    </row>
    <row r="1140" spans="1:15" hidden="1">
      <c r="A1140" s="281">
        <v>45832</v>
      </c>
      <c r="B1140" s="257" t="s">
        <v>1979</v>
      </c>
      <c r="C1140" s="257" t="s">
        <v>174</v>
      </c>
      <c r="D1140" s="258" t="s">
        <v>442</v>
      </c>
      <c r="E1140" s="259">
        <v>61800</v>
      </c>
      <c r="F1140" s="259">
        <v>110.17172384591018</v>
      </c>
      <c r="G1140" s="269">
        <v>579.64599999999996</v>
      </c>
      <c r="H1140" s="261" t="s">
        <v>175</v>
      </c>
      <c r="I1140" s="261" t="s">
        <v>322</v>
      </c>
      <c r="J1140" s="261" t="s">
        <v>98</v>
      </c>
      <c r="K1140" s="277" t="s">
        <v>202</v>
      </c>
      <c r="L1140" s="257" t="s">
        <v>155</v>
      </c>
      <c r="M1140" s="257"/>
      <c r="N1140" s="257"/>
      <c r="O1140" s="257"/>
    </row>
    <row r="1141" spans="1:15" hidden="1">
      <c r="A1141" s="281">
        <v>45832</v>
      </c>
      <c r="B1141" s="257" t="s">
        <v>1947</v>
      </c>
      <c r="C1141" s="264" t="s">
        <v>2086</v>
      </c>
      <c r="D1141" s="257" t="s">
        <v>118</v>
      </c>
      <c r="E1141" s="259">
        <v>2000</v>
      </c>
      <c r="F1141" s="259">
        <v>3.5654279561783229</v>
      </c>
      <c r="G1141" s="269">
        <v>579.64599999999996</v>
      </c>
      <c r="H1141" s="261" t="s">
        <v>190</v>
      </c>
      <c r="I1141" s="261" t="s">
        <v>280</v>
      </c>
      <c r="J1141" s="261" t="s">
        <v>98</v>
      </c>
      <c r="K1141" s="277" t="s">
        <v>202</v>
      </c>
      <c r="L1141" s="257" t="s">
        <v>155</v>
      </c>
      <c r="M1141" s="257"/>
      <c r="N1141" s="257"/>
      <c r="O1141" s="257"/>
    </row>
    <row r="1142" spans="1:15" hidden="1">
      <c r="A1142" s="281">
        <v>45832</v>
      </c>
      <c r="B1142" s="257" t="s">
        <v>2006</v>
      </c>
      <c r="C1142" s="257" t="s">
        <v>174</v>
      </c>
      <c r="D1142" s="257" t="s">
        <v>117</v>
      </c>
      <c r="E1142" s="259">
        <v>7000</v>
      </c>
      <c r="F1142" s="259">
        <v>12.47899784662413</v>
      </c>
      <c r="G1142" s="269">
        <v>579.64599999999996</v>
      </c>
      <c r="H1142" s="261" t="s">
        <v>193</v>
      </c>
      <c r="I1142" s="261" t="s">
        <v>2021</v>
      </c>
      <c r="J1142" s="261" t="s">
        <v>98</v>
      </c>
      <c r="K1142" s="277" t="s">
        <v>202</v>
      </c>
      <c r="L1142" s="257" t="s">
        <v>155</v>
      </c>
      <c r="M1142" s="257"/>
      <c r="N1142" s="257"/>
      <c r="O1142" s="257"/>
    </row>
    <row r="1143" spans="1:15" hidden="1">
      <c r="A1143" s="281">
        <v>45832</v>
      </c>
      <c r="B1143" s="257" t="s">
        <v>2023</v>
      </c>
      <c r="C1143" s="257" t="s">
        <v>174</v>
      </c>
      <c r="D1143" s="257" t="s">
        <v>117</v>
      </c>
      <c r="E1143" s="259">
        <v>20000</v>
      </c>
      <c r="F1143" s="259">
        <v>35.654279561783227</v>
      </c>
      <c r="G1143" s="269">
        <v>579.64599999999996</v>
      </c>
      <c r="H1143" s="261" t="s">
        <v>193</v>
      </c>
      <c r="I1143" s="261" t="s">
        <v>270</v>
      </c>
      <c r="J1143" s="261" t="s">
        <v>98</v>
      </c>
      <c r="K1143" s="277" t="s">
        <v>202</v>
      </c>
      <c r="L1143" s="257" t="s">
        <v>155</v>
      </c>
      <c r="M1143" s="257"/>
      <c r="N1143" s="257"/>
      <c r="O1143" s="257"/>
    </row>
    <row r="1144" spans="1:15" hidden="1">
      <c r="A1144" s="281">
        <v>45832</v>
      </c>
      <c r="B1144" s="257" t="s">
        <v>2024</v>
      </c>
      <c r="C1144" s="263" t="s">
        <v>177</v>
      </c>
      <c r="D1144" s="257" t="s">
        <v>117</v>
      </c>
      <c r="E1144" s="259">
        <v>50000</v>
      </c>
      <c r="F1144" s="259">
        <v>89.135698904458081</v>
      </c>
      <c r="G1144" s="269">
        <v>579.64599999999996</v>
      </c>
      <c r="H1144" s="261" t="s">
        <v>193</v>
      </c>
      <c r="I1144" s="261" t="s">
        <v>278</v>
      </c>
      <c r="J1144" s="261" t="s">
        <v>98</v>
      </c>
      <c r="K1144" s="277" t="s">
        <v>202</v>
      </c>
      <c r="L1144" s="257" t="s">
        <v>155</v>
      </c>
      <c r="M1144" s="257"/>
      <c r="N1144" s="257"/>
      <c r="O1144" s="257"/>
    </row>
    <row r="1145" spans="1:15" hidden="1">
      <c r="A1145" s="281">
        <v>45832</v>
      </c>
      <c r="B1145" s="257" t="s">
        <v>2055</v>
      </c>
      <c r="C1145" s="263" t="s">
        <v>177</v>
      </c>
      <c r="D1145" s="257" t="s">
        <v>117</v>
      </c>
      <c r="E1145" s="259">
        <v>15000</v>
      </c>
      <c r="F1145" s="259">
        <v>26.740709671337424</v>
      </c>
      <c r="G1145" s="269">
        <v>579.64599999999996</v>
      </c>
      <c r="H1145" s="261" t="s">
        <v>437</v>
      </c>
      <c r="I1145" s="261" t="s">
        <v>2056</v>
      </c>
      <c r="J1145" s="261" t="s">
        <v>98</v>
      </c>
      <c r="K1145" s="277" t="s">
        <v>202</v>
      </c>
      <c r="L1145" s="257" t="s">
        <v>155</v>
      </c>
      <c r="M1145" s="257"/>
      <c r="N1145" s="257"/>
      <c r="O1145" s="257"/>
    </row>
    <row r="1146" spans="1:15" hidden="1">
      <c r="A1146" s="281">
        <v>45832</v>
      </c>
      <c r="B1146" s="282" t="s">
        <v>1911</v>
      </c>
      <c r="C1146" s="257" t="s">
        <v>123</v>
      </c>
      <c r="D1146" s="257" t="s">
        <v>117</v>
      </c>
      <c r="E1146" s="259">
        <v>300000</v>
      </c>
      <c r="F1146" s="259">
        <v>534.81419342674849</v>
      </c>
      <c r="G1146" s="269">
        <v>579.64599999999996</v>
      </c>
      <c r="H1146" s="261" t="s">
        <v>148</v>
      </c>
      <c r="I1146" s="261" t="s">
        <v>139</v>
      </c>
      <c r="J1146" s="261" t="s">
        <v>98</v>
      </c>
      <c r="K1146" s="277" t="s">
        <v>202</v>
      </c>
      <c r="L1146" s="257" t="s">
        <v>155</v>
      </c>
      <c r="M1146" s="257"/>
      <c r="N1146" s="257"/>
      <c r="O1146" s="257"/>
    </row>
    <row r="1147" spans="1:15" hidden="1">
      <c r="A1147" s="281">
        <v>45833</v>
      </c>
      <c r="B1147" s="257" t="s">
        <v>2022</v>
      </c>
      <c r="C1147" s="263" t="s">
        <v>177</v>
      </c>
      <c r="D1147" s="257" t="s">
        <v>117</v>
      </c>
      <c r="E1147" s="259">
        <v>20000</v>
      </c>
      <c r="F1147" s="259">
        <v>35.654279561783227</v>
      </c>
      <c r="G1147" s="269">
        <v>579.64599999999996</v>
      </c>
      <c r="H1147" s="261" t="s">
        <v>193</v>
      </c>
      <c r="I1147" s="261" t="s">
        <v>415</v>
      </c>
      <c r="J1147" s="261" t="s">
        <v>98</v>
      </c>
      <c r="K1147" s="277" t="s">
        <v>202</v>
      </c>
      <c r="L1147" s="257" t="s">
        <v>155</v>
      </c>
      <c r="M1147" s="257"/>
      <c r="N1147" s="257"/>
      <c r="O1147" s="257"/>
    </row>
    <row r="1148" spans="1:15" hidden="1">
      <c r="A1148" s="284">
        <v>45834</v>
      </c>
      <c r="B1148" s="257" t="s">
        <v>2026</v>
      </c>
      <c r="C1148" s="257" t="s">
        <v>313</v>
      </c>
      <c r="D1148" s="257" t="s">
        <v>117</v>
      </c>
      <c r="E1148" s="259">
        <v>21000</v>
      </c>
      <c r="F1148" s="259">
        <v>37.43699353987239</v>
      </c>
      <c r="G1148" s="269">
        <v>579.64599999999996</v>
      </c>
      <c r="H1148" s="261" t="s">
        <v>193</v>
      </c>
      <c r="I1148" s="261" t="s">
        <v>2027</v>
      </c>
      <c r="J1148" s="261" t="s">
        <v>98</v>
      </c>
      <c r="K1148" s="277" t="s">
        <v>202</v>
      </c>
      <c r="L1148" s="257" t="s">
        <v>155</v>
      </c>
      <c r="M1148" s="257"/>
      <c r="N1148" s="257"/>
      <c r="O1148" s="257"/>
    </row>
    <row r="1149" spans="1:15" hidden="1">
      <c r="A1149" s="281">
        <v>45834</v>
      </c>
      <c r="B1149" s="257" t="s">
        <v>2057</v>
      </c>
      <c r="C1149" s="257" t="s">
        <v>313</v>
      </c>
      <c r="D1149" s="257" t="s">
        <v>117</v>
      </c>
      <c r="E1149" s="259">
        <v>40500</v>
      </c>
      <c r="F1149" s="259">
        <v>72.199916112611035</v>
      </c>
      <c r="G1149" s="269">
        <v>579.64599999999996</v>
      </c>
      <c r="H1149" s="261" t="s">
        <v>437</v>
      </c>
      <c r="I1149" s="261" t="s">
        <v>2058</v>
      </c>
      <c r="J1149" s="261" t="s">
        <v>98</v>
      </c>
      <c r="K1149" s="277" t="s">
        <v>202</v>
      </c>
      <c r="L1149" s="257" t="s">
        <v>155</v>
      </c>
      <c r="M1149" s="257"/>
      <c r="N1149" s="257"/>
      <c r="O1149" s="257"/>
    </row>
    <row r="1150" spans="1:15" hidden="1">
      <c r="A1150" s="284">
        <v>45835</v>
      </c>
      <c r="B1150" s="257" t="s">
        <v>2008</v>
      </c>
      <c r="C1150" s="257" t="s">
        <v>174</v>
      </c>
      <c r="D1150" s="257" t="s">
        <v>117</v>
      </c>
      <c r="E1150" s="259">
        <v>7000</v>
      </c>
      <c r="F1150" s="259">
        <v>12.47899784662413</v>
      </c>
      <c r="G1150" s="269">
        <v>579.64599999999996</v>
      </c>
      <c r="H1150" s="261" t="s">
        <v>193</v>
      </c>
      <c r="I1150" s="261" t="s">
        <v>2025</v>
      </c>
      <c r="J1150" s="261" t="s">
        <v>98</v>
      </c>
      <c r="K1150" s="277" t="s">
        <v>202</v>
      </c>
      <c r="L1150" s="257" t="s">
        <v>155</v>
      </c>
      <c r="M1150" s="257"/>
      <c r="N1150" s="257"/>
      <c r="O1150" s="257"/>
    </row>
    <row r="1151" spans="1:15" hidden="1">
      <c r="A1151" s="281">
        <v>45835</v>
      </c>
      <c r="B1151" s="257" t="s">
        <v>2059</v>
      </c>
      <c r="C1151" s="257" t="s">
        <v>196</v>
      </c>
      <c r="D1151" s="257" t="s">
        <v>117</v>
      </c>
      <c r="E1151" s="259">
        <v>33000</v>
      </c>
      <c r="F1151" s="259">
        <v>58.829561276942329</v>
      </c>
      <c r="G1151" s="269">
        <v>579.64599999999996</v>
      </c>
      <c r="H1151" s="261" t="s">
        <v>437</v>
      </c>
      <c r="I1151" s="261" t="s">
        <v>2060</v>
      </c>
      <c r="J1151" s="261" t="s">
        <v>98</v>
      </c>
      <c r="K1151" s="277" t="s">
        <v>202</v>
      </c>
      <c r="L1151" s="257" t="s">
        <v>155</v>
      </c>
      <c r="M1151" s="257"/>
      <c r="N1151" s="257"/>
      <c r="O1151" s="257"/>
    </row>
    <row r="1152" spans="1:15" hidden="1">
      <c r="A1152" s="281">
        <v>45835</v>
      </c>
      <c r="B1152" s="257" t="s">
        <v>1966</v>
      </c>
      <c r="C1152" s="263" t="s">
        <v>126</v>
      </c>
      <c r="D1152" s="257" t="s">
        <v>118</v>
      </c>
      <c r="E1152" s="259">
        <v>8000</v>
      </c>
      <c r="F1152" s="259">
        <v>14.261711824713291</v>
      </c>
      <c r="G1152" s="269">
        <v>579.64599999999996</v>
      </c>
      <c r="H1152" s="261" t="s">
        <v>583</v>
      </c>
      <c r="I1152" s="261" t="s">
        <v>302</v>
      </c>
      <c r="J1152" s="261" t="s">
        <v>98</v>
      </c>
      <c r="K1152" s="277" t="s">
        <v>202</v>
      </c>
      <c r="L1152" s="257" t="s">
        <v>155</v>
      </c>
      <c r="M1152" s="257"/>
      <c r="N1152" s="257"/>
      <c r="O1152" s="257"/>
    </row>
    <row r="1153" spans="1:15" hidden="1">
      <c r="A1153" s="281">
        <v>45835</v>
      </c>
      <c r="B1153" s="257" t="s">
        <v>1949</v>
      </c>
      <c r="C1153" s="257" t="s">
        <v>304</v>
      </c>
      <c r="D1153" s="257" t="s">
        <v>118</v>
      </c>
      <c r="E1153" s="259">
        <v>75625</v>
      </c>
      <c r="F1153" s="259">
        <v>134.81774459299285</v>
      </c>
      <c r="G1153" s="269">
        <v>579.64599999999996</v>
      </c>
      <c r="H1153" s="261" t="s">
        <v>583</v>
      </c>
      <c r="I1153" s="261" t="s">
        <v>305</v>
      </c>
      <c r="J1153" s="261" t="s">
        <v>98</v>
      </c>
      <c r="K1153" s="277" t="s">
        <v>202</v>
      </c>
      <c r="L1153" s="257" t="s">
        <v>155</v>
      </c>
      <c r="M1153" s="257"/>
      <c r="N1153" s="257"/>
      <c r="O1153" s="257"/>
    </row>
    <row r="1154" spans="1:15" hidden="1">
      <c r="A1154" s="281">
        <v>45835</v>
      </c>
      <c r="B1154" s="257" t="s">
        <v>2028</v>
      </c>
      <c r="C1154" s="263" t="s">
        <v>177</v>
      </c>
      <c r="D1154" s="257" t="s">
        <v>117</v>
      </c>
      <c r="E1154" s="259">
        <v>30000</v>
      </c>
      <c r="F1154" s="259">
        <v>53.481419342674847</v>
      </c>
      <c r="G1154" s="269">
        <v>579.64599999999996</v>
      </c>
      <c r="H1154" s="261" t="s">
        <v>193</v>
      </c>
      <c r="I1154" s="261" t="s">
        <v>2029</v>
      </c>
      <c r="J1154" s="261" t="s">
        <v>98</v>
      </c>
      <c r="K1154" s="277" t="s">
        <v>202</v>
      </c>
      <c r="L1154" s="257" t="s">
        <v>155</v>
      </c>
      <c r="M1154" s="257"/>
      <c r="N1154" s="257"/>
      <c r="O1154" s="257"/>
    </row>
    <row r="1155" spans="1:15" hidden="1">
      <c r="A1155" s="281">
        <v>45835</v>
      </c>
      <c r="B1155" s="257" t="s">
        <v>2061</v>
      </c>
      <c r="C1155" s="263" t="s">
        <v>177</v>
      </c>
      <c r="D1155" s="257" t="s">
        <v>117</v>
      </c>
      <c r="E1155" s="259">
        <v>45000</v>
      </c>
      <c r="F1155" s="259">
        <v>80.222129014012268</v>
      </c>
      <c r="G1155" s="269">
        <v>579.64599999999996</v>
      </c>
      <c r="H1155" s="261" t="s">
        <v>437</v>
      </c>
      <c r="I1155" s="261" t="s">
        <v>2062</v>
      </c>
      <c r="J1155" s="261" t="s">
        <v>98</v>
      </c>
      <c r="K1155" s="277" t="s">
        <v>202</v>
      </c>
      <c r="L1155" s="257" t="s">
        <v>155</v>
      </c>
      <c r="M1155" s="257"/>
      <c r="N1155" s="257"/>
      <c r="O1155" s="257"/>
    </row>
    <row r="1156" spans="1:15" hidden="1">
      <c r="A1156" s="281">
        <v>45836</v>
      </c>
      <c r="B1156" s="257" t="s">
        <v>2063</v>
      </c>
      <c r="C1156" s="263" t="s">
        <v>177</v>
      </c>
      <c r="D1156" s="257" t="s">
        <v>117</v>
      </c>
      <c r="E1156" s="259">
        <v>15000</v>
      </c>
      <c r="F1156" s="259">
        <v>26.740709671337424</v>
      </c>
      <c r="G1156" s="269">
        <v>579.64599999999996</v>
      </c>
      <c r="H1156" s="261" t="s">
        <v>437</v>
      </c>
      <c r="I1156" s="261" t="s">
        <v>2064</v>
      </c>
      <c r="J1156" s="261" t="s">
        <v>98</v>
      </c>
      <c r="K1156" s="277" t="s">
        <v>202</v>
      </c>
      <c r="L1156" s="257" t="s">
        <v>155</v>
      </c>
      <c r="M1156" s="257"/>
      <c r="N1156" s="257"/>
      <c r="O1156" s="257"/>
    </row>
    <row r="1157" spans="1:15" hidden="1">
      <c r="A1157" s="281">
        <v>45837</v>
      </c>
      <c r="B1157" s="257" t="s">
        <v>2065</v>
      </c>
      <c r="C1157" s="263" t="s">
        <v>177</v>
      </c>
      <c r="D1157" s="257" t="s">
        <v>117</v>
      </c>
      <c r="E1157" s="259">
        <v>15000</v>
      </c>
      <c r="F1157" s="259">
        <v>26.740709671337424</v>
      </c>
      <c r="G1157" s="269">
        <v>579.64599999999996</v>
      </c>
      <c r="H1157" s="261" t="s">
        <v>437</v>
      </c>
      <c r="I1157" s="261" t="s">
        <v>2066</v>
      </c>
      <c r="J1157" s="261" t="s">
        <v>98</v>
      </c>
      <c r="K1157" s="277" t="s">
        <v>202</v>
      </c>
      <c r="L1157" s="257" t="s">
        <v>155</v>
      </c>
      <c r="M1157" s="257"/>
      <c r="N1157" s="257"/>
      <c r="O1157" s="257"/>
    </row>
    <row r="1158" spans="1:15" hidden="1">
      <c r="A1158" s="281">
        <v>45837</v>
      </c>
      <c r="B1158" s="257" t="s">
        <v>2067</v>
      </c>
      <c r="C1158" s="257" t="s">
        <v>196</v>
      </c>
      <c r="D1158" s="257" t="s">
        <v>117</v>
      </c>
      <c r="E1158" s="259">
        <v>39000</v>
      </c>
      <c r="F1158" s="259">
        <v>69.525845145477305</v>
      </c>
      <c r="G1158" s="269">
        <v>579.64599999999996</v>
      </c>
      <c r="H1158" s="261" t="s">
        <v>437</v>
      </c>
      <c r="I1158" s="261" t="s">
        <v>2068</v>
      </c>
      <c r="J1158" s="261" t="s">
        <v>98</v>
      </c>
      <c r="K1158" s="277" t="s">
        <v>202</v>
      </c>
      <c r="L1158" s="257" t="s">
        <v>155</v>
      </c>
      <c r="M1158" s="257"/>
      <c r="N1158" s="257"/>
      <c r="O1158" s="257"/>
    </row>
    <row r="1159" spans="1:15" hidden="1">
      <c r="A1159" s="281">
        <v>45838</v>
      </c>
      <c r="B1159" s="257" t="s">
        <v>1953</v>
      </c>
      <c r="C1159" s="257" t="s">
        <v>174</v>
      </c>
      <c r="D1159" s="257" t="s">
        <v>119</v>
      </c>
      <c r="E1159" s="259">
        <v>49000</v>
      </c>
      <c r="F1159" s="259">
        <v>87.352984926368919</v>
      </c>
      <c r="G1159" s="269">
        <v>579.64599999999996</v>
      </c>
      <c r="H1159" s="261" t="s">
        <v>153</v>
      </c>
      <c r="I1159" s="261" t="s">
        <v>421</v>
      </c>
      <c r="J1159" s="261" t="s">
        <v>98</v>
      </c>
      <c r="K1159" s="277" t="s">
        <v>202</v>
      </c>
      <c r="L1159" s="257" t="s">
        <v>155</v>
      </c>
      <c r="M1159" s="257"/>
      <c r="N1159" s="257"/>
      <c r="O1159" s="257"/>
    </row>
    <row r="1160" spans="1:15" hidden="1">
      <c r="A1160" s="281">
        <v>45838</v>
      </c>
      <c r="B1160" s="257" t="s">
        <v>1946</v>
      </c>
      <c r="C1160" s="257" t="s">
        <v>304</v>
      </c>
      <c r="D1160" s="257" t="s">
        <v>118</v>
      </c>
      <c r="E1160" s="259">
        <v>50000</v>
      </c>
      <c r="F1160" s="259">
        <v>89.135698904458081</v>
      </c>
      <c r="G1160" s="269">
        <v>579.64599999999996</v>
      </c>
      <c r="H1160" s="261" t="s">
        <v>583</v>
      </c>
      <c r="I1160" s="261" t="s">
        <v>329</v>
      </c>
      <c r="J1160" s="261" t="s">
        <v>98</v>
      </c>
      <c r="K1160" s="277" t="s">
        <v>202</v>
      </c>
      <c r="L1160" s="257" t="s">
        <v>155</v>
      </c>
      <c r="M1160" s="257"/>
      <c r="N1160" s="257"/>
      <c r="O1160" s="257"/>
    </row>
    <row r="1161" spans="1:15" hidden="1">
      <c r="A1161" s="281">
        <v>45838</v>
      </c>
      <c r="B1161" s="257" t="s">
        <v>1950</v>
      </c>
      <c r="C1161" s="257" t="s">
        <v>626</v>
      </c>
      <c r="D1161" s="257" t="s">
        <v>118</v>
      </c>
      <c r="E1161" s="259">
        <v>45050</v>
      </c>
      <c r="F1161" s="259">
        <v>80.311264712916724</v>
      </c>
      <c r="G1161" s="269">
        <v>579.64599999999996</v>
      </c>
      <c r="H1161" s="261" t="s">
        <v>583</v>
      </c>
      <c r="I1161" s="261" t="s">
        <v>331</v>
      </c>
      <c r="J1161" s="261" t="s">
        <v>98</v>
      </c>
      <c r="K1161" s="277" t="s">
        <v>202</v>
      </c>
      <c r="L1161" s="257" t="s">
        <v>155</v>
      </c>
      <c r="M1161" s="257"/>
      <c r="N1161" s="257"/>
      <c r="O1161" s="257"/>
    </row>
    <row r="1162" spans="1:15" hidden="1">
      <c r="A1162" s="281">
        <v>45838</v>
      </c>
      <c r="B1162" s="257" t="s">
        <v>1964</v>
      </c>
      <c r="C1162" s="257" t="s">
        <v>174</v>
      </c>
      <c r="D1162" s="257" t="s">
        <v>118</v>
      </c>
      <c r="E1162" s="259">
        <v>26000</v>
      </c>
      <c r="F1162" s="259">
        <v>46.350563430318196</v>
      </c>
      <c r="G1162" s="269">
        <v>579.64599999999996</v>
      </c>
      <c r="H1162" s="261" t="s">
        <v>583</v>
      </c>
      <c r="I1162" s="261" t="s">
        <v>1965</v>
      </c>
      <c r="J1162" s="261" t="s">
        <v>98</v>
      </c>
      <c r="K1162" s="277" t="s">
        <v>202</v>
      </c>
      <c r="L1162" s="257" t="s">
        <v>155</v>
      </c>
      <c r="M1162" s="257"/>
      <c r="N1162" s="257"/>
      <c r="O1162" s="257"/>
    </row>
    <row r="1163" spans="1:15" hidden="1">
      <c r="A1163" s="281">
        <v>45838</v>
      </c>
      <c r="B1163" s="257" t="s">
        <v>2002</v>
      </c>
      <c r="C1163" s="257" t="s">
        <v>174</v>
      </c>
      <c r="D1163" s="257" t="s">
        <v>117</v>
      </c>
      <c r="E1163" s="259">
        <v>45700</v>
      </c>
      <c r="F1163" s="259">
        <v>81.470028798674676</v>
      </c>
      <c r="G1163" s="269">
        <v>579.64599999999996</v>
      </c>
      <c r="H1163" s="261" t="s">
        <v>190</v>
      </c>
      <c r="I1163" s="261" t="s">
        <v>2003</v>
      </c>
      <c r="J1163" s="261" t="s">
        <v>98</v>
      </c>
      <c r="K1163" s="277" t="s">
        <v>202</v>
      </c>
      <c r="L1163" s="257" t="s">
        <v>155</v>
      </c>
      <c r="M1163" s="257"/>
      <c r="N1163" s="257"/>
      <c r="O1163" s="257"/>
    </row>
    <row r="1164" spans="1:15" hidden="1">
      <c r="A1164" s="281">
        <v>45838</v>
      </c>
      <c r="B1164" s="257" t="s">
        <v>2030</v>
      </c>
      <c r="C1164" s="257" t="s">
        <v>174</v>
      </c>
      <c r="D1164" s="257" t="s">
        <v>117</v>
      </c>
      <c r="E1164" s="259">
        <v>53000</v>
      </c>
      <c r="F1164" s="259">
        <v>94.483840838725555</v>
      </c>
      <c r="G1164" s="269">
        <v>579.64599999999996</v>
      </c>
      <c r="H1164" s="261" t="s">
        <v>193</v>
      </c>
      <c r="I1164" s="261" t="s">
        <v>2031</v>
      </c>
      <c r="J1164" s="261" t="s">
        <v>98</v>
      </c>
      <c r="K1164" s="277" t="s">
        <v>202</v>
      </c>
      <c r="L1164" s="257" t="s">
        <v>155</v>
      </c>
      <c r="M1164" s="257"/>
      <c r="N1164" s="257"/>
      <c r="O1164" s="257"/>
    </row>
    <row r="1165" spans="1:15" ht="15.6" hidden="1">
      <c r="A1165" s="437">
        <v>45839</v>
      </c>
      <c r="B1165" s="307" t="s">
        <v>2099</v>
      </c>
      <c r="C1165" s="308" t="s">
        <v>174</v>
      </c>
      <c r="D1165" s="309" t="s">
        <v>119</v>
      </c>
      <c r="E1165" s="310">
        <v>1000</v>
      </c>
      <c r="F1165" s="325">
        <f t="shared" ref="F1165:F1211" si="3">E1165/G1165</f>
        <v>1.7827139780891614</v>
      </c>
      <c r="G1165" s="326">
        <v>560.94248000000005</v>
      </c>
      <c r="H1165" s="311" t="s">
        <v>153</v>
      </c>
      <c r="I1165" s="312" t="s">
        <v>2115</v>
      </c>
      <c r="J1165" s="129" t="s">
        <v>98</v>
      </c>
      <c r="K1165" s="129" t="s">
        <v>1902</v>
      </c>
      <c r="L1165" s="147" t="s">
        <v>155</v>
      </c>
      <c r="M1165" s="129"/>
      <c r="N1165" s="129"/>
      <c r="O1165" s="129"/>
    </row>
    <row r="1166" spans="1:15" ht="15.6" hidden="1">
      <c r="A1166" s="437">
        <v>45839</v>
      </c>
      <c r="B1166" s="307" t="s">
        <v>2100</v>
      </c>
      <c r="C1166" s="308" t="s">
        <v>174</v>
      </c>
      <c r="D1166" s="309" t="s">
        <v>119</v>
      </c>
      <c r="E1166" s="310">
        <v>1000</v>
      </c>
      <c r="F1166" s="325">
        <f t="shared" si="3"/>
        <v>1.7827139780891614</v>
      </c>
      <c r="G1166" s="326">
        <v>560.94248000000005</v>
      </c>
      <c r="H1166" s="311" t="s">
        <v>153</v>
      </c>
      <c r="I1166" s="312" t="s">
        <v>2115</v>
      </c>
      <c r="J1166" s="129" t="s">
        <v>98</v>
      </c>
      <c r="K1166" s="129" t="s">
        <v>1902</v>
      </c>
      <c r="L1166" s="147" t="s">
        <v>155</v>
      </c>
      <c r="M1166" s="129"/>
      <c r="N1166" s="129"/>
      <c r="O1166" s="129"/>
    </row>
    <row r="1167" spans="1:15" ht="15.6" hidden="1">
      <c r="A1167" s="437">
        <v>45840</v>
      </c>
      <c r="B1167" s="307" t="s">
        <v>2099</v>
      </c>
      <c r="C1167" s="308" t="s">
        <v>174</v>
      </c>
      <c r="D1167" s="309" t="s">
        <v>119</v>
      </c>
      <c r="E1167" s="310">
        <v>1000</v>
      </c>
      <c r="F1167" s="325">
        <f t="shared" si="3"/>
        <v>1.7827139780891614</v>
      </c>
      <c r="G1167" s="326">
        <v>560.94248000000005</v>
      </c>
      <c r="H1167" s="311" t="s">
        <v>153</v>
      </c>
      <c r="I1167" s="312" t="s">
        <v>2115</v>
      </c>
      <c r="J1167" s="129" t="s">
        <v>98</v>
      </c>
      <c r="K1167" s="129" t="s">
        <v>1902</v>
      </c>
      <c r="L1167" s="147" t="s">
        <v>155</v>
      </c>
      <c r="M1167" s="129"/>
      <c r="N1167" s="129"/>
      <c r="O1167" s="129"/>
    </row>
    <row r="1168" spans="1:15" ht="15.6" hidden="1">
      <c r="A1168" s="437">
        <v>45840</v>
      </c>
      <c r="B1168" s="307" t="s">
        <v>2100</v>
      </c>
      <c r="C1168" s="308" t="s">
        <v>174</v>
      </c>
      <c r="D1168" s="309" t="s">
        <v>119</v>
      </c>
      <c r="E1168" s="310">
        <v>1000</v>
      </c>
      <c r="F1168" s="325">
        <f t="shared" si="3"/>
        <v>1.7827139780891614</v>
      </c>
      <c r="G1168" s="326">
        <v>560.94248000000005</v>
      </c>
      <c r="H1168" s="311" t="s">
        <v>153</v>
      </c>
      <c r="I1168" s="312" t="s">
        <v>2115</v>
      </c>
      <c r="J1168" s="129" t="s">
        <v>98</v>
      </c>
      <c r="K1168" s="129" t="s">
        <v>1902</v>
      </c>
      <c r="L1168" s="147" t="s">
        <v>155</v>
      </c>
      <c r="M1168" s="129"/>
      <c r="N1168" s="129"/>
      <c r="O1168" s="129"/>
    </row>
    <row r="1169" spans="1:15" ht="15.6" hidden="1">
      <c r="A1169" s="437">
        <v>45840</v>
      </c>
      <c r="B1169" s="438" t="s">
        <v>2127</v>
      </c>
      <c r="C1169" s="438" t="s">
        <v>174</v>
      </c>
      <c r="D1169" s="438" t="s">
        <v>118</v>
      </c>
      <c r="E1169" s="342">
        <v>1000</v>
      </c>
      <c r="F1169" s="325">
        <f t="shared" si="3"/>
        <v>1.7827139780891614</v>
      </c>
      <c r="G1169" s="326">
        <v>560.94248000000005</v>
      </c>
      <c r="H1169" s="438" t="s">
        <v>583</v>
      </c>
      <c r="I1169" s="129" t="s">
        <v>2164</v>
      </c>
      <c r="J1169" s="129" t="s">
        <v>98</v>
      </c>
      <c r="K1169" s="129" t="s">
        <v>1902</v>
      </c>
      <c r="L1169" s="147" t="s">
        <v>155</v>
      </c>
      <c r="M1169" s="129"/>
      <c r="N1169" s="129"/>
      <c r="O1169" s="129"/>
    </row>
    <row r="1170" spans="1:15" ht="15.6" hidden="1">
      <c r="A1170" s="437">
        <v>45840</v>
      </c>
      <c r="B1170" s="438" t="s">
        <v>2128</v>
      </c>
      <c r="C1170" s="438" t="s">
        <v>174</v>
      </c>
      <c r="D1170" s="438" t="s">
        <v>118</v>
      </c>
      <c r="E1170" s="342">
        <v>1000</v>
      </c>
      <c r="F1170" s="325">
        <f t="shared" si="3"/>
        <v>1.7827139780891614</v>
      </c>
      <c r="G1170" s="326">
        <v>560.94248000000005</v>
      </c>
      <c r="H1170" s="438" t="s">
        <v>583</v>
      </c>
      <c r="I1170" s="129" t="s">
        <v>2164</v>
      </c>
      <c r="J1170" s="129" t="s">
        <v>98</v>
      </c>
      <c r="K1170" s="129" t="s">
        <v>1902</v>
      </c>
      <c r="L1170" s="147" t="s">
        <v>155</v>
      </c>
      <c r="M1170" s="129"/>
      <c r="N1170" s="129"/>
      <c r="O1170" s="129"/>
    </row>
    <row r="1171" spans="1:15" ht="15.6" hidden="1">
      <c r="A1171" s="437">
        <v>45840</v>
      </c>
      <c r="B1171" s="438" t="s">
        <v>2324</v>
      </c>
      <c r="C1171" s="438" t="s">
        <v>304</v>
      </c>
      <c r="D1171" s="438" t="s">
        <v>118</v>
      </c>
      <c r="E1171" s="342">
        <v>20000</v>
      </c>
      <c r="F1171" s="325">
        <f t="shared" si="3"/>
        <v>35.654279561783227</v>
      </c>
      <c r="G1171" s="326">
        <v>560.94248000000005</v>
      </c>
      <c r="H1171" s="253" t="s">
        <v>583</v>
      </c>
      <c r="I1171" s="131" t="s">
        <v>2165</v>
      </c>
      <c r="J1171" s="129" t="s">
        <v>98</v>
      </c>
      <c r="K1171" s="129" t="s">
        <v>1902</v>
      </c>
      <c r="L1171" s="147" t="s">
        <v>155</v>
      </c>
      <c r="M1171" s="147"/>
      <c r="N1171" s="147"/>
      <c r="O1171" s="129"/>
    </row>
    <row r="1172" spans="1:15" ht="15.6" hidden="1">
      <c r="A1172" s="437">
        <v>45841</v>
      </c>
      <c r="B1172" s="307" t="s">
        <v>2099</v>
      </c>
      <c r="C1172" s="308" t="s">
        <v>174</v>
      </c>
      <c r="D1172" s="309" t="s">
        <v>119</v>
      </c>
      <c r="E1172" s="310">
        <v>1000</v>
      </c>
      <c r="F1172" s="325">
        <f t="shared" si="3"/>
        <v>1.7827139780891614</v>
      </c>
      <c r="G1172" s="326">
        <v>560.94248000000005</v>
      </c>
      <c r="H1172" s="311" t="s">
        <v>153</v>
      </c>
      <c r="I1172" s="312" t="s">
        <v>2115</v>
      </c>
      <c r="J1172" s="129" t="s">
        <v>98</v>
      </c>
      <c r="K1172" s="129" t="s">
        <v>1902</v>
      </c>
      <c r="L1172" s="147" t="s">
        <v>155</v>
      </c>
      <c r="M1172" s="129"/>
      <c r="N1172" s="129"/>
      <c r="O1172" s="129"/>
    </row>
    <row r="1173" spans="1:15" ht="15.6" hidden="1">
      <c r="A1173" s="437">
        <v>45841</v>
      </c>
      <c r="B1173" s="307" t="s">
        <v>2100</v>
      </c>
      <c r="C1173" s="308" t="s">
        <v>174</v>
      </c>
      <c r="D1173" s="309" t="s">
        <v>119</v>
      </c>
      <c r="E1173" s="310">
        <v>1000</v>
      </c>
      <c r="F1173" s="325">
        <f t="shared" si="3"/>
        <v>1.7827139780891614</v>
      </c>
      <c r="G1173" s="326">
        <v>560.94248000000005</v>
      </c>
      <c r="H1173" s="311" t="s">
        <v>153</v>
      </c>
      <c r="I1173" s="312" t="s">
        <v>2115</v>
      </c>
      <c r="J1173" s="129" t="s">
        <v>98</v>
      </c>
      <c r="K1173" s="129" t="s">
        <v>1902</v>
      </c>
      <c r="L1173" s="147" t="s">
        <v>155</v>
      </c>
      <c r="M1173" s="129"/>
      <c r="N1173" s="129"/>
      <c r="O1173" s="129"/>
    </row>
    <row r="1174" spans="1:15" ht="15.6" hidden="1">
      <c r="A1174" s="437">
        <v>45841</v>
      </c>
      <c r="B1174" s="438" t="s">
        <v>2129</v>
      </c>
      <c r="C1174" s="438" t="s">
        <v>174</v>
      </c>
      <c r="D1174" s="438" t="s">
        <v>118</v>
      </c>
      <c r="E1174" s="342">
        <v>1000</v>
      </c>
      <c r="F1174" s="325">
        <f t="shared" si="3"/>
        <v>1.7827139780891614</v>
      </c>
      <c r="G1174" s="326">
        <v>560.94248000000005</v>
      </c>
      <c r="H1174" s="438" t="s">
        <v>583</v>
      </c>
      <c r="I1174" s="129" t="s">
        <v>2164</v>
      </c>
      <c r="J1174" s="129" t="s">
        <v>98</v>
      </c>
      <c r="K1174" s="129" t="s">
        <v>1902</v>
      </c>
      <c r="L1174" s="147" t="s">
        <v>155</v>
      </c>
      <c r="M1174" s="129"/>
      <c r="N1174" s="129"/>
      <c r="O1174" s="129"/>
    </row>
    <row r="1175" spans="1:15" ht="15.6" hidden="1">
      <c r="A1175" s="437">
        <v>45841</v>
      </c>
      <c r="B1175" s="438" t="s">
        <v>2130</v>
      </c>
      <c r="C1175" s="438" t="s">
        <v>174</v>
      </c>
      <c r="D1175" s="438" t="s">
        <v>118</v>
      </c>
      <c r="E1175" s="342">
        <v>1000</v>
      </c>
      <c r="F1175" s="325">
        <f t="shared" si="3"/>
        <v>1.7827139780891614</v>
      </c>
      <c r="G1175" s="326">
        <v>560.94248000000005</v>
      </c>
      <c r="H1175" s="438" t="s">
        <v>583</v>
      </c>
      <c r="I1175" s="129" t="s">
        <v>2164</v>
      </c>
      <c r="J1175" s="129" t="s">
        <v>98</v>
      </c>
      <c r="K1175" s="129" t="s">
        <v>1902</v>
      </c>
      <c r="L1175" s="147" t="s">
        <v>155</v>
      </c>
      <c r="M1175" s="129"/>
      <c r="N1175" s="129"/>
      <c r="O1175" s="129"/>
    </row>
    <row r="1176" spans="1:15" ht="15.6" hidden="1">
      <c r="A1176" s="437">
        <v>45841</v>
      </c>
      <c r="B1176" s="184" t="s">
        <v>2189</v>
      </c>
      <c r="C1176" s="184" t="s">
        <v>174</v>
      </c>
      <c r="D1176" s="184" t="s">
        <v>117</v>
      </c>
      <c r="E1176" s="342">
        <v>1000</v>
      </c>
      <c r="F1176" s="325">
        <f t="shared" si="3"/>
        <v>1.7827139780891614</v>
      </c>
      <c r="G1176" s="326">
        <v>560.94248000000005</v>
      </c>
      <c r="H1176" s="184" t="s">
        <v>193</v>
      </c>
      <c r="I1176" s="184" t="s">
        <v>2200</v>
      </c>
      <c r="J1176" s="129" t="s">
        <v>98</v>
      </c>
      <c r="K1176" s="129" t="s">
        <v>1902</v>
      </c>
      <c r="L1176" s="147" t="s">
        <v>155</v>
      </c>
      <c r="M1176" s="129"/>
      <c r="N1176" s="129"/>
      <c r="O1176" s="129"/>
    </row>
    <row r="1177" spans="1:15" ht="15.6" hidden="1">
      <c r="A1177" s="437">
        <v>45841</v>
      </c>
      <c r="B1177" s="184" t="s">
        <v>2190</v>
      </c>
      <c r="C1177" s="184" t="s">
        <v>174</v>
      </c>
      <c r="D1177" s="184" t="s">
        <v>117</v>
      </c>
      <c r="E1177" s="342">
        <v>1000</v>
      </c>
      <c r="F1177" s="325">
        <f t="shared" si="3"/>
        <v>1.7827139780891614</v>
      </c>
      <c r="G1177" s="326">
        <v>560.94248000000005</v>
      </c>
      <c r="H1177" s="184" t="s">
        <v>193</v>
      </c>
      <c r="I1177" s="184" t="s">
        <v>2200</v>
      </c>
      <c r="J1177" s="129" t="s">
        <v>98</v>
      </c>
      <c r="K1177" s="129" t="s">
        <v>1902</v>
      </c>
      <c r="L1177" s="147" t="s">
        <v>155</v>
      </c>
      <c r="M1177" s="129"/>
      <c r="N1177" s="129"/>
      <c r="O1177" s="129"/>
    </row>
    <row r="1178" spans="1:15" ht="15.6" hidden="1">
      <c r="A1178" s="437">
        <v>45841</v>
      </c>
      <c r="B1178" s="184" t="s">
        <v>2191</v>
      </c>
      <c r="C1178" s="184" t="s">
        <v>174</v>
      </c>
      <c r="D1178" s="184" t="s">
        <v>117</v>
      </c>
      <c r="E1178" s="342">
        <v>1000</v>
      </c>
      <c r="F1178" s="325">
        <f t="shared" si="3"/>
        <v>1.7827139780891614</v>
      </c>
      <c r="G1178" s="326">
        <v>560.94248000000005</v>
      </c>
      <c r="H1178" s="184" t="s">
        <v>193</v>
      </c>
      <c r="I1178" s="184" t="s">
        <v>2200</v>
      </c>
      <c r="J1178" s="129" t="s">
        <v>98</v>
      </c>
      <c r="K1178" s="129" t="s">
        <v>1902</v>
      </c>
      <c r="L1178" s="147" t="s">
        <v>155</v>
      </c>
      <c r="M1178" s="129"/>
      <c r="N1178" s="129"/>
      <c r="O1178" s="129"/>
    </row>
    <row r="1179" spans="1:15" ht="15.6" hidden="1">
      <c r="A1179" s="437">
        <v>45841</v>
      </c>
      <c r="B1179" s="184" t="s">
        <v>2192</v>
      </c>
      <c r="C1179" s="184" t="s">
        <v>174</v>
      </c>
      <c r="D1179" s="184" t="s">
        <v>117</v>
      </c>
      <c r="E1179" s="342">
        <v>1000</v>
      </c>
      <c r="F1179" s="325">
        <f t="shared" si="3"/>
        <v>1.7827139780891614</v>
      </c>
      <c r="G1179" s="326">
        <v>560.94248000000005</v>
      </c>
      <c r="H1179" s="184" t="s">
        <v>193</v>
      </c>
      <c r="I1179" s="184" t="s">
        <v>2200</v>
      </c>
      <c r="J1179" s="129" t="s">
        <v>98</v>
      </c>
      <c r="K1179" s="129" t="s">
        <v>1902</v>
      </c>
      <c r="L1179" s="147" t="s">
        <v>155</v>
      </c>
      <c r="M1179" s="129"/>
      <c r="N1179" s="129"/>
      <c r="O1179" s="129"/>
    </row>
    <row r="1180" spans="1:15" ht="15.6" hidden="1">
      <c r="A1180" s="437">
        <v>45841</v>
      </c>
      <c r="B1180" s="182" t="s">
        <v>2242</v>
      </c>
      <c r="C1180" s="182" t="s">
        <v>123</v>
      </c>
      <c r="D1180" s="182" t="s">
        <v>117</v>
      </c>
      <c r="E1180" s="435">
        <v>300000</v>
      </c>
      <c r="F1180" s="325">
        <f t="shared" si="3"/>
        <v>534.81419342674849</v>
      </c>
      <c r="G1180" s="326">
        <v>560.94248000000005</v>
      </c>
      <c r="H1180" s="438" t="s">
        <v>148</v>
      </c>
      <c r="I1180" s="129" t="s">
        <v>2243</v>
      </c>
      <c r="J1180" s="129" t="s">
        <v>98</v>
      </c>
      <c r="K1180" s="129" t="s">
        <v>1902</v>
      </c>
      <c r="L1180" s="147" t="s">
        <v>155</v>
      </c>
      <c r="M1180" s="129"/>
      <c r="N1180" s="129"/>
      <c r="O1180" s="129"/>
    </row>
    <row r="1181" spans="1:15" ht="15.6" hidden="1">
      <c r="A1181" s="437">
        <v>45841</v>
      </c>
      <c r="B1181" s="367" t="s">
        <v>2244</v>
      </c>
      <c r="C1181" s="182" t="s">
        <v>123</v>
      </c>
      <c r="D1181" s="182" t="s">
        <v>117</v>
      </c>
      <c r="E1181" s="435">
        <v>300000</v>
      </c>
      <c r="F1181" s="325">
        <f t="shared" si="3"/>
        <v>534.81419342674849</v>
      </c>
      <c r="G1181" s="326">
        <v>560.94248000000005</v>
      </c>
      <c r="H1181" s="438" t="s">
        <v>148</v>
      </c>
      <c r="I1181" s="129" t="s">
        <v>2245</v>
      </c>
      <c r="J1181" s="129" t="s">
        <v>98</v>
      </c>
      <c r="K1181" s="129" t="s">
        <v>1902</v>
      </c>
      <c r="L1181" s="147" t="s">
        <v>155</v>
      </c>
      <c r="M1181" s="129"/>
      <c r="N1181" s="129"/>
      <c r="O1181" s="129"/>
    </row>
    <row r="1182" spans="1:15" ht="15.6" hidden="1">
      <c r="A1182" s="437">
        <v>45841</v>
      </c>
      <c r="B1182" s="182" t="s">
        <v>2246</v>
      </c>
      <c r="C1182" s="182" t="s">
        <v>304</v>
      </c>
      <c r="D1182" s="439" t="s">
        <v>118</v>
      </c>
      <c r="E1182" s="435">
        <v>260000</v>
      </c>
      <c r="F1182" s="325">
        <f t="shared" si="3"/>
        <v>463.50563430318198</v>
      </c>
      <c r="G1182" s="326">
        <v>560.94248000000005</v>
      </c>
      <c r="H1182" s="438" t="s">
        <v>148</v>
      </c>
      <c r="I1182" s="129" t="s">
        <v>2247</v>
      </c>
      <c r="J1182" s="129" t="s">
        <v>98</v>
      </c>
      <c r="K1182" s="129" t="s">
        <v>1902</v>
      </c>
      <c r="L1182" s="147" t="s">
        <v>155</v>
      </c>
      <c r="M1182" s="129"/>
      <c r="N1182" s="129"/>
      <c r="O1182" s="129"/>
    </row>
    <row r="1183" spans="1:15" ht="15.6" hidden="1">
      <c r="A1183" s="437">
        <v>45842</v>
      </c>
      <c r="B1183" s="307" t="s">
        <v>2099</v>
      </c>
      <c r="C1183" s="308" t="s">
        <v>174</v>
      </c>
      <c r="D1183" s="309" t="s">
        <v>119</v>
      </c>
      <c r="E1183" s="310">
        <v>1000</v>
      </c>
      <c r="F1183" s="325">
        <f t="shared" si="3"/>
        <v>1.7827139780891614</v>
      </c>
      <c r="G1183" s="326">
        <v>560.94248000000005</v>
      </c>
      <c r="H1183" s="311" t="s">
        <v>153</v>
      </c>
      <c r="I1183" s="312" t="s">
        <v>2115</v>
      </c>
      <c r="J1183" s="129" t="s">
        <v>98</v>
      </c>
      <c r="K1183" s="129" t="s">
        <v>1902</v>
      </c>
      <c r="L1183" s="147" t="s">
        <v>155</v>
      </c>
      <c r="M1183" s="129"/>
      <c r="N1183" s="129"/>
      <c r="O1183" s="129"/>
    </row>
    <row r="1184" spans="1:15" ht="15.6" hidden="1">
      <c r="A1184" s="437">
        <v>45842</v>
      </c>
      <c r="B1184" s="307" t="s">
        <v>2100</v>
      </c>
      <c r="C1184" s="308" t="s">
        <v>174</v>
      </c>
      <c r="D1184" s="309" t="s">
        <v>119</v>
      </c>
      <c r="E1184" s="310">
        <v>1000</v>
      </c>
      <c r="F1184" s="325">
        <f t="shared" si="3"/>
        <v>1.7827139780891614</v>
      </c>
      <c r="G1184" s="326">
        <v>560.94248000000005</v>
      </c>
      <c r="H1184" s="311" t="s">
        <v>153</v>
      </c>
      <c r="I1184" s="312" t="s">
        <v>2115</v>
      </c>
      <c r="J1184" s="129" t="s">
        <v>98</v>
      </c>
      <c r="K1184" s="129" t="s">
        <v>1902</v>
      </c>
      <c r="L1184" s="147" t="s">
        <v>155</v>
      </c>
      <c r="M1184" s="129"/>
      <c r="N1184" s="129"/>
      <c r="O1184" s="129"/>
    </row>
    <row r="1185" spans="1:15" ht="15.6" hidden="1">
      <c r="A1185" s="437">
        <v>45843</v>
      </c>
      <c r="B1185" s="307" t="s">
        <v>2099</v>
      </c>
      <c r="C1185" s="308" t="s">
        <v>174</v>
      </c>
      <c r="D1185" s="309" t="s">
        <v>119</v>
      </c>
      <c r="E1185" s="310">
        <v>1000</v>
      </c>
      <c r="F1185" s="325">
        <f t="shared" si="3"/>
        <v>1.7827139780891614</v>
      </c>
      <c r="G1185" s="326">
        <v>560.94248000000005</v>
      </c>
      <c r="H1185" s="311" t="s">
        <v>153</v>
      </c>
      <c r="I1185" s="312" t="s">
        <v>2115</v>
      </c>
      <c r="J1185" s="129" t="s">
        <v>98</v>
      </c>
      <c r="K1185" s="129" t="s">
        <v>1902</v>
      </c>
      <c r="L1185" s="147" t="s">
        <v>155</v>
      </c>
      <c r="M1185" s="129"/>
      <c r="N1185" s="129"/>
      <c r="O1185" s="129"/>
    </row>
    <row r="1186" spans="1:15" ht="15.6" hidden="1">
      <c r="A1186" s="437">
        <v>45843</v>
      </c>
      <c r="B1186" s="307" t="s">
        <v>2100</v>
      </c>
      <c r="C1186" s="308" t="s">
        <v>174</v>
      </c>
      <c r="D1186" s="309" t="s">
        <v>119</v>
      </c>
      <c r="E1186" s="310">
        <v>1000</v>
      </c>
      <c r="F1186" s="325">
        <f t="shared" si="3"/>
        <v>1.7827139780891614</v>
      </c>
      <c r="G1186" s="326">
        <v>560.94248000000005</v>
      </c>
      <c r="H1186" s="311" t="s">
        <v>153</v>
      </c>
      <c r="I1186" s="312" t="s">
        <v>2115</v>
      </c>
      <c r="J1186" s="129" t="s">
        <v>98</v>
      </c>
      <c r="K1186" s="129" t="s">
        <v>1902</v>
      </c>
      <c r="L1186" s="147" t="s">
        <v>155</v>
      </c>
      <c r="M1186" s="129"/>
      <c r="N1186" s="129"/>
      <c r="O1186" s="129"/>
    </row>
    <row r="1187" spans="1:15" ht="15.6" hidden="1">
      <c r="A1187" s="437">
        <v>45844</v>
      </c>
      <c r="B1187" s="307" t="s">
        <v>2099</v>
      </c>
      <c r="C1187" s="308" t="s">
        <v>174</v>
      </c>
      <c r="D1187" s="309" t="s">
        <v>119</v>
      </c>
      <c r="E1187" s="310">
        <v>1000</v>
      </c>
      <c r="F1187" s="325">
        <f t="shared" si="3"/>
        <v>1.7827139780891614</v>
      </c>
      <c r="G1187" s="326">
        <v>560.94248000000005</v>
      </c>
      <c r="H1187" s="311" t="s">
        <v>153</v>
      </c>
      <c r="I1187" s="312" t="s">
        <v>2115</v>
      </c>
      <c r="J1187" s="129" t="s">
        <v>98</v>
      </c>
      <c r="K1187" s="129" t="s">
        <v>1902</v>
      </c>
      <c r="L1187" s="147" t="s">
        <v>155</v>
      </c>
      <c r="M1187" s="129"/>
      <c r="N1187" s="129"/>
      <c r="O1187" s="129"/>
    </row>
    <row r="1188" spans="1:15" ht="15.6" hidden="1">
      <c r="A1188" s="437">
        <v>45844</v>
      </c>
      <c r="B1188" s="307" t="s">
        <v>2100</v>
      </c>
      <c r="C1188" s="308" t="s">
        <v>174</v>
      </c>
      <c r="D1188" s="309" t="s">
        <v>119</v>
      </c>
      <c r="E1188" s="310">
        <v>1000</v>
      </c>
      <c r="F1188" s="325">
        <f t="shared" si="3"/>
        <v>1.7827139780891614</v>
      </c>
      <c r="G1188" s="326">
        <v>560.94248000000005</v>
      </c>
      <c r="H1188" s="311" t="s">
        <v>153</v>
      </c>
      <c r="I1188" s="312" t="s">
        <v>2115</v>
      </c>
      <c r="J1188" s="129" t="s">
        <v>98</v>
      </c>
      <c r="K1188" s="129" t="s">
        <v>1902</v>
      </c>
      <c r="L1188" s="147" t="s">
        <v>155</v>
      </c>
      <c r="M1188" s="129"/>
      <c r="N1188" s="129"/>
      <c r="O1188" s="129"/>
    </row>
    <row r="1189" spans="1:15" ht="15.6" hidden="1">
      <c r="A1189" s="437">
        <v>45845</v>
      </c>
      <c r="B1189" s="307" t="s">
        <v>2099</v>
      </c>
      <c r="C1189" s="308" t="s">
        <v>174</v>
      </c>
      <c r="D1189" s="309" t="s">
        <v>119</v>
      </c>
      <c r="E1189" s="310">
        <v>1000</v>
      </c>
      <c r="F1189" s="325">
        <f t="shared" si="3"/>
        <v>1.7827139780891614</v>
      </c>
      <c r="G1189" s="326">
        <v>560.94248000000005</v>
      </c>
      <c r="H1189" s="311" t="s">
        <v>153</v>
      </c>
      <c r="I1189" s="312" t="s">
        <v>2115</v>
      </c>
      <c r="J1189" s="129" t="s">
        <v>98</v>
      </c>
      <c r="K1189" s="129" t="s">
        <v>1902</v>
      </c>
      <c r="L1189" s="147" t="s">
        <v>155</v>
      </c>
      <c r="M1189" s="129"/>
      <c r="N1189" s="129"/>
      <c r="O1189" s="129"/>
    </row>
    <row r="1190" spans="1:15" ht="15.6" hidden="1">
      <c r="A1190" s="437">
        <v>45845</v>
      </c>
      <c r="B1190" s="307" t="s">
        <v>2100</v>
      </c>
      <c r="C1190" s="308" t="s">
        <v>174</v>
      </c>
      <c r="D1190" s="309" t="s">
        <v>119</v>
      </c>
      <c r="E1190" s="310">
        <v>1000</v>
      </c>
      <c r="F1190" s="325">
        <f t="shared" si="3"/>
        <v>1.7827139780891614</v>
      </c>
      <c r="G1190" s="326">
        <v>560.94248000000005</v>
      </c>
      <c r="H1190" s="311" t="s">
        <v>153</v>
      </c>
      <c r="I1190" s="312" t="s">
        <v>2115</v>
      </c>
      <c r="J1190" s="129" t="s">
        <v>98</v>
      </c>
      <c r="K1190" s="129" t="s">
        <v>1902</v>
      </c>
      <c r="L1190" s="147" t="s">
        <v>155</v>
      </c>
      <c r="M1190" s="129"/>
      <c r="N1190" s="129"/>
      <c r="O1190" s="129"/>
    </row>
    <row r="1191" spans="1:15" ht="15.6" hidden="1">
      <c r="A1191" s="437">
        <v>45846</v>
      </c>
      <c r="B1191" s="307" t="s">
        <v>2101</v>
      </c>
      <c r="C1191" s="308" t="s">
        <v>127</v>
      </c>
      <c r="D1191" s="309" t="s">
        <v>119</v>
      </c>
      <c r="E1191" s="307">
        <v>174625</v>
      </c>
      <c r="F1191" s="325">
        <f t="shared" si="3"/>
        <v>311.30642842381985</v>
      </c>
      <c r="G1191" s="326">
        <v>560.94248000000005</v>
      </c>
      <c r="H1191" s="311" t="s">
        <v>153</v>
      </c>
      <c r="I1191" s="307" t="s">
        <v>2116</v>
      </c>
      <c r="J1191" s="129" t="s">
        <v>98</v>
      </c>
      <c r="K1191" s="129" t="s">
        <v>1902</v>
      </c>
      <c r="L1191" s="147" t="s">
        <v>155</v>
      </c>
      <c r="M1191" s="129"/>
      <c r="N1191" s="129"/>
      <c r="O1191" s="129"/>
    </row>
    <row r="1192" spans="1:15" ht="15.6" hidden="1">
      <c r="A1192" s="437">
        <v>45846</v>
      </c>
      <c r="B1192" s="307" t="s">
        <v>2102</v>
      </c>
      <c r="C1192" s="308" t="s">
        <v>174</v>
      </c>
      <c r="D1192" s="309" t="s">
        <v>119</v>
      </c>
      <c r="E1192" s="307">
        <v>1000</v>
      </c>
      <c r="F1192" s="325">
        <f t="shared" si="3"/>
        <v>1.7827139780891614</v>
      </c>
      <c r="G1192" s="326">
        <v>560.94248000000005</v>
      </c>
      <c r="H1192" s="311" t="s">
        <v>153</v>
      </c>
      <c r="I1192" s="312" t="s">
        <v>2115</v>
      </c>
      <c r="J1192" s="129" t="s">
        <v>98</v>
      </c>
      <c r="K1192" s="129" t="s">
        <v>1902</v>
      </c>
      <c r="L1192" s="147" t="s">
        <v>155</v>
      </c>
      <c r="M1192" s="129"/>
      <c r="N1192" s="129"/>
      <c r="O1192" s="129"/>
    </row>
    <row r="1193" spans="1:15" ht="15.6" hidden="1">
      <c r="A1193" s="437">
        <v>45846</v>
      </c>
      <c r="B1193" s="307" t="s">
        <v>2100</v>
      </c>
      <c r="C1193" s="308" t="s">
        <v>174</v>
      </c>
      <c r="D1193" s="309" t="s">
        <v>119</v>
      </c>
      <c r="E1193" s="307">
        <v>1000</v>
      </c>
      <c r="F1193" s="325">
        <f t="shared" si="3"/>
        <v>1.7827139780891614</v>
      </c>
      <c r="G1193" s="326">
        <v>560.94248000000005</v>
      </c>
      <c r="H1193" s="311" t="s">
        <v>153</v>
      </c>
      <c r="I1193" s="312" t="s">
        <v>2115</v>
      </c>
      <c r="J1193" s="129" t="s">
        <v>98</v>
      </c>
      <c r="K1193" s="129" t="s">
        <v>1902</v>
      </c>
      <c r="L1193" s="147" t="s">
        <v>155</v>
      </c>
      <c r="M1193" s="129"/>
      <c r="N1193" s="129"/>
      <c r="O1193" s="129"/>
    </row>
    <row r="1194" spans="1:15" ht="15.6" hidden="1">
      <c r="A1194" s="437">
        <v>45846</v>
      </c>
      <c r="B1194" s="184" t="s">
        <v>2193</v>
      </c>
      <c r="C1194" s="184" t="s">
        <v>172</v>
      </c>
      <c r="D1194" s="438" t="s">
        <v>118</v>
      </c>
      <c r="E1194" s="342">
        <v>2000</v>
      </c>
      <c r="F1194" s="325">
        <f t="shared" si="3"/>
        <v>3.5654279561783229</v>
      </c>
      <c r="G1194" s="326">
        <v>560.94248000000005</v>
      </c>
      <c r="H1194" s="253" t="s">
        <v>193</v>
      </c>
      <c r="I1194" s="253" t="s">
        <v>2201</v>
      </c>
      <c r="J1194" s="129" t="s">
        <v>98</v>
      </c>
      <c r="K1194" s="129" t="s">
        <v>1902</v>
      </c>
      <c r="L1194" s="147" t="s">
        <v>155</v>
      </c>
      <c r="M1194" s="129"/>
      <c r="N1194" s="129"/>
      <c r="O1194" s="129"/>
    </row>
    <row r="1195" spans="1:15" ht="15.6" hidden="1">
      <c r="A1195" s="437">
        <v>45847</v>
      </c>
      <c r="B1195" s="307" t="s">
        <v>2103</v>
      </c>
      <c r="C1195" s="308" t="s">
        <v>174</v>
      </c>
      <c r="D1195" s="309" t="s">
        <v>119</v>
      </c>
      <c r="E1195" s="307">
        <v>1000</v>
      </c>
      <c r="F1195" s="325">
        <f t="shared" si="3"/>
        <v>1.7827139780891614</v>
      </c>
      <c r="G1195" s="326">
        <v>560.94248000000005</v>
      </c>
      <c r="H1195" s="311" t="s">
        <v>153</v>
      </c>
      <c r="I1195" s="312" t="s">
        <v>2115</v>
      </c>
      <c r="J1195" s="129" t="s">
        <v>98</v>
      </c>
      <c r="K1195" s="129" t="s">
        <v>1902</v>
      </c>
      <c r="L1195" s="147" t="s">
        <v>155</v>
      </c>
      <c r="M1195" s="129"/>
      <c r="N1195" s="129"/>
      <c r="O1195" s="129"/>
    </row>
    <row r="1196" spans="1:15" ht="15.6" hidden="1">
      <c r="A1196" s="437">
        <v>45847</v>
      </c>
      <c r="B1196" s="307" t="s">
        <v>2104</v>
      </c>
      <c r="C1196" s="308" t="s">
        <v>174</v>
      </c>
      <c r="D1196" s="309" t="s">
        <v>119</v>
      </c>
      <c r="E1196" s="307">
        <v>1000</v>
      </c>
      <c r="F1196" s="325">
        <f t="shared" si="3"/>
        <v>1.7827139780891614</v>
      </c>
      <c r="G1196" s="326">
        <v>560.94248000000005</v>
      </c>
      <c r="H1196" s="311" t="s">
        <v>153</v>
      </c>
      <c r="I1196" s="312" t="s">
        <v>2115</v>
      </c>
      <c r="J1196" s="129" t="s">
        <v>98</v>
      </c>
      <c r="K1196" s="129" t="s">
        <v>1902</v>
      </c>
      <c r="L1196" s="147" t="s">
        <v>155</v>
      </c>
      <c r="M1196" s="129"/>
      <c r="N1196" s="129"/>
      <c r="O1196" s="129"/>
    </row>
    <row r="1197" spans="1:15" ht="15.6" hidden="1">
      <c r="A1197" s="437">
        <v>45847</v>
      </c>
      <c r="B1197" s="307" t="s">
        <v>2100</v>
      </c>
      <c r="C1197" s="308" t="s">
        <v>174</v>
      </c>
      <c r="D1197" s="309" t="s">
        <v>119</v>
      </c>
      <c r="E1197" s="307">
        <v>1000</v>
      </c>
      <c r="F1197" s="325">
        <f t="shared" si="3"/>
        <v>1.7827139780891614</v>
      </c>
      <c r="G1197" s="326">
        <v>560.94248000000005</v>
      </c>
      <c r="H1197" s="311" t="s">
        <v>153</v>
      </c>
      <c r="I1197" s="312" t="s">
        <v>2115</v>
      </c>
      <c r="J1197" s="129" t="s">
        <v>98</v>
      </c>
      <c r="K1197" s="129" t="s">
        <v>1902</v>
      </c>
      <c r="L1197" s="147" t="s">
        <v>155</v>
      </c>
      <c r="M1197" s="129"/>
      <c r="N1197" s="129"/>
      <c r="O1197" s="129"/>
    </row>
    <row r="1198" spans="1:15" ht="15.6" hidden="1">
      <c r="A1198" s="437">
        <v>45847</v>
      </c>
      <c r="B1198" s="440" t="s">
        <v>2335</v>
      </c>
      <c r="C1198" s="441" t="s">
        <v>174</v>
      </c>
      <c r="D1198" s="440" t="s">
        <v>117</v>
      </c>
      <c r="E1198" s="441">
        <v>1000</v>
      </c>
      <c r="F1198" s="325">
        <f t="shared" si="3"/>
        <v>1.7827139780891614</v>
      </c>
      <c r="G1198" s="326">
        <v>560.94248000000005</v>
      </c>
      <c r="H1198" s="442" t="s">
        <v>200</v>
      </c>
      <c r="I1198" s="316" t="s">
        <v>2126</v>
      </c>
      <c r="J1198" s="129" t="s">
        <v>98</v>
      </c>
      <c r="K1198" s="129" t="s">
        <v>1902</v>
      </c>
      <c r="L1198" s="147" t="s">
        <v>155</v>
      </c>
      <c r="M1198" s="129"/>
      <c r="N1198" s="129"/>
      <c r="O1198" s="129"/>
    </row>
    <row r="1199" spans="1:15" ht="15.6" hidden="1">
      <c r="A1199" s="437">
        <v>45847</v>
      </c>
      <c r="B1199" s="440" t="s">
        <v>2117</v>
      </c>
      <c r="C1199" s="441" t="s">
        <v>174</v>
      </c>
      <c r="D1199" s="440" t="s">
        <v>117</v>
      </c>
      <c r="E1199" s="441">
        <v>1000</v>
      </c>
      <c r="F1199" s="325">
        <f t="shared" si="3"/>
        <v>1.7827139780891614</v>
      </c>
      <c r="G1199" s="326">
        <v>560.94248000000005</v>
      </c>
      <c r="H1199" s="442" t="s">
        <v>200</v>
      </c>
      <c r="I1199" s="316" t="s">
        <v>2126</v>
      </c>
      <c r="J1199" s="129" t="s">
        <v>98</v>
      </c>
      <c r="K1199" s="129" t="s">
        <v>1902</v>
      </c>
      <c r="L1199" s="147" t="s">
        <v>155</v>
      </c>
      <c r="M1199" s="129"/>
      <c r="N1199" s="129"/>
      <c r="O1199" s="129"/>
    </row>
    <row r="1200" spans="1:15" ht="15.6" hidden="1">
      <c r="A1200" s="437">
        <v>45848</v>
      </c>
      <c r="B1200" s="307" t="s">
        <v>2099</v>
      </c>
      <c r="C1200" s="308" t="s">
        <v>174</v>
      </c>
      <c r="D1200" s="309" t="s">
        <v>119</v>
      </c>
      <c r="E1200" s="307">
        <v>1000</v>
      </c>
      <c r="F1200" s="325">
        <f t="shared" si="3"/>
        <v>1.7827139780891614</v>
      </c>
      <c r="G1200" s="326">
        <v>560.94248000000005</v>
      </c>
      <c r="H1200" s="311" t="s">
        <v>153</v>
      </c>
      <c r="I1200" s="312" t="s">
        <v>2115</v>
      </c>
      <c r="J1200" s="129" t="s">
        <v>98</v>
      </c>
      <c r="K1200" s="129" t="s">
        <v>1902</v>
      </c>
      <c r="L1200" s="147" t="s">
        <v>155</v>
      </c>
      <c r="M1200" s="129"/>
      <c r="N1200" s="129"/>
      <c r="O1200" s="129"/>
    </row>
    <row r="1201" spans="1:15" ht="15.6" hidden="1">
      <c r="A1201" s="437">
        <v>45848</v>
      </c>
      <c r="B1201" s="307" t="s">
        <v>2100</v>
      </c>
      <c r="C1201" s="308" t="s">
        <v>174</v>
      </c>
      <c r="D1201" s="309" t="s">
        <v>119</v>
      </c>
      <c r="E1201" s="307">
        <v>1000</v>
      </c>
      <c r="F1201" s="325">
        <f t="shared" si="3"/>
        <v>1.7827139780891614</v>
      </c>
      <c r="G1201" s="326">
        <v>560.94248000000005</v>
      </c>
      <c r="H1201" s="311" t="s">
        <v>153</v>
      </c>
      <c r="I1201" s="312" t="s">
        <v>2115</v>
      </c>
      <c r="J1201" s="129" t="s">
        <v>98</v>
      </c>
      <c r="K1201" s="129" t="s">
        <v>1902</v>
      </c>
      <c r="L1201" s="147" t="s">
        <v>155</v>
      </c>
      <c r="M1201" s="129"/>
      <c r="N1201" s="129"/>
      <c r="O1201" s="129"/>
    </row>
    <row r="1202" spans="1:15" ht="15.6" hidden="1">
      <c r="A1202" s="437">
        <v>45848</v>
      </c>
      <c r="B1202" s="438" t="s">
        <v>2325</v>
      </c>
      <c r="C1202" s="438" t="s">
        <v>1553</v>
      </c>
      <c r="D1202" s="438" t="s">
        <v>121</v>
      </c>
      <c r="E1202" s="342">
        <v>-60000</v>
      </c>
      <c r="F1202" s="325">
        <f t="shared" si="3"/>
        <v>-106.96283868534969</v>
      </c>
      <c r="G1202" s="326">
        <v>560.94248000000005</v>
      </c>
      <c r="H1202" s="253" t="s">
        <v>583</v>
      </c>
      <c r="I1202" s="131" t="s">
        <v>2166</v>
      </c>
      <c r="J1202" s="129" t="s">
        <v>98</v>
      </c>
      <c r="K1202" s="129" t="s">
        <v>1902</v>
      </c>
      <c r="L1202" s="147" t="s">
        <v>155</v>
      </c>
      <c r="M1202" s="129"/>
      <c r="N1202" s="129"/>
      <c r="O1202" s="129"/>
    </row>
    <row r="1203" spans="1:15" ht="15.6" hidden="1">
      <c r="A1203" s="437">
        <v>45849</v>
      </c>
      <c r="B1203" s="307" t="s">
        <v>2099</v>
      </c>
      <c r="C1203" s="308" t="s">
        <v>174</v>
      </c>
      <c r="D1203" s="309" t="s">
        <v>119</v>
      </c>
      <c r="E1203" s="307">
        <v>1000</v>
      </c>
      <c r="F1203" s="325">
        <f t="shared" si="3"/>
        <v>1.7827139780891614</v>
      </c>
      <c r="G1203" s="326">
        <v>560.94248000000005</v>
      </c>
      <c r="H1203" s="311" t="s">
        <v>153</v>
      </c>
      <c r="I1203" s="312" t="s">
        <v>2115</v>
      </c>
      <c r="J1203" s="129" t="s">
        <v>98</v>
      </c>
      <c r="K1203" s="129" t="s">
        <v>1902</v>
      </c>
      <c r="L1203" s="147" t="s">
        <v>155</v>
      </c>
      <c r="M1203" s="129"/>
      <c r="N1203" s="129"/>
      <c r="O1203" s="129"/>
    </row>
    <row r="1204" spans="1:15" ht="15.6" hidden="1">
      <c r="A1204" s="437">
        <v>45849</v>
      </c>
      <c r="B1204" s="307" t="s">
        <v>2100</v>
      </c>
      <c r="C1204" s="308" t="s">
        <v>174</v>
      </c>
      <c r="D1204" s="309" t="s">
        <v>119</v>
      </c>
      <c r="E1204" s="307">
        <v>1000</v>
      </c>
      <c r="F1204" s="325">
        <f t="shared" si="3"/>
        <v>1.7827139780891614</v>
      </c>
      <c r="G1204" s="326">
        <v>560.94248000000005</v>
      </c>
      <c r="H1204" s="311" t="s">
        <v>153</v>
      </c>
      <c r="I1204" s="312" t="s">
        <v>2115</v>
      </c>
      <c r="J1204" s="129" t="s">
        <v>98</v>
      </c>
      <c r="K1204" s="129" t="s">
        <v>1902</v>
      </c>
      <c r="L1204" s="147" t="s">
        <v>155</v>
      </c>
      <c r="M1204" s="129"/>
      <c r="N1204" s="129"/>
      <c r="O1204" s="129"/>
    </row>
    <row r="1205" spans="1:15" ht="15.6" hidden="1">
      <c r="A1205" s="437">
        <v>45849</v>
      </c>
      <c r="B1205" s="440" t="s">
        <v>2118</v>
      </c>
      <c r="C1205" s="441" t="s">
        <v>174</v>
      </c>
      <c r="D1205" s="440" t="s">
        <v>117</v>
      </c>
      <c r="E1205" s="441">
        <v>1000</v>
      </c>
      <c r="F1205" s="325">
        <f t="shared" si="3"/>
        <v>1.7827139780891614</v>
      </c>
      <c r="G1205" s="326">
        <v>560.94248000000005</v>
      </c>
      <c r="H1205" s="442" t="s">
        <v>200</v>
      </c>
      <c r="I1205" s="316" t="s">
        <v>2126</v>
      </c>
      <c r="J1205" s="129" t="s">
        <v>98</v>
      </c>
      <c r="K1205" s="129" t="s">
        <v>1902</v>
      </c>
      <c r="L1205" s="147" t="s">
        <v>155</v>
      </c>
      <c r="M1205" s="129"/>
      <c r="N1205" s="129"/>
      <c r="O1205" s="129"/>
    </row>
    <row r="1206" spans="1:15" ht="15.6" hidden="1">
      <c r="A1206" s="437">
        <v>45849</v>
      </c>
      <c r="B1206" s="440" t="s">
        <v>2117</v>
      </c>
      <c r="C1206" s="441" t="s">
        <v>174</v>
      </c>
      <c r="D1206" s="440" t="s">
        <v>117</v>
      </c>
      <c r="E1206" s="441">
        <v>1000</v>
      </c>
      <c r="F1206" s="325">
        <f t="shared" si="3"/>
        <v>1.7827139780891614</v>
      </c>
      <c r="G1206" s="326">
        <v>560.94248000000005</v>
      </c>
      <c r="H1206" s="442" t="s">
        <v>200</v>
      </c>
      <c r="I1206" s="316" t="s">
        <v>2126</v>
      </c>
      <c r="J1206" s="129" t="s">
        <v>98</v>
      </c>
      <c r="K1206" s="129" t="s">
        <v>1902</v>
      </c>
      <c r="L1206" s="147" t="s">
        <v>155</v>
      </c>
      <c r="M1206" s="129"/>
      <c r="N1206" s="129"/>
      <c r="O1206" s="129"/>
    </row>
    <row r="1207" spans="1:15" ht="15.6" hidden="1">
      <c r="A1207" s="437">
        <v>45849</v>
      </c>
      <c r="B1207" s="438" t="s">
        <v>2131</v>
      </c>
      <c r="C1207" s="438" t="s">
        <v>174</v>
      </c>
      <c r="D1207" s="438" t="s">
        <v>118</v>
      </c>
      <c r="E1207" s="342">
        <v>1000</v>
      </c>
      <c r="F1207" s="325">
        <f t="shared" si="3"/>
        <v>1.7827139780891614</v>
      </c>
      <c r="G1207" s="326">
        <v>560.94248000000005</v>
      </c>
      <c r="H1207" s="438" t="s">
        <v>583</v>
      </c>
      <c r="I1207" s="129" t="s">
        <v>2164</v>
      </c>
      <c r="J1207" s="129" t="s">
        <v>98</v>
      </c>
      <c r="K1207" s="129" t="s">
        <v>1902</v>
      </c>
      <c r="L1207" s="147" t="s">
        <v>155</v>
      </c>
      <c r="M1207" s="129"/>
      <c r="N1207" s="129"/>
      <c r="O1207" s="129"/>
    </row>
    <row r="1208" spans="1:15" ht="15.6" hidden="1">
      <c r="A1208" s="437">
        <v>45849</v>
      </c>
      <c r="B1208" s="438" t="s">
        <v>2132</v>
      </c>
      <c r="C1208" s="438" t="s">
        <v>174</v>
      </c>
      <c r="D1208" s="438" t="s">
        <v>118</v>
      </c>
      <c r="E1208" s="342">
        <v>1000</v>
      </c>
      <c r="F1208" s="325">
        <f t="shared" si="3"/>
        <v>1.7827139780891614</v>
      </c>
      <c r="G1208" s="326">
        <v>560.94248000000005</v>
      </c>
      <c r="H1208" s="438" t="s">
        <v>583</v>
      </c>
      <c r="I1208" s="129" t="s">
        <v>2164</v>
      </c>
      <c r="J1208" s="129" t="s">
        <v>98</v>
      </c>
      <c r="K1208" s="129" t="s">
        <v>1902</v>
      </c>
      <c r="L1208" s="147" t="s">
        <v>155</v>
      </c>
      <c r="M1208" s="129"/>
      <c r="N1208" s="129"/>
      <c r="O1208" s="129"/>
    </row>
    <row r="1209" spans="1:15" ht="15.6" hidden="1">
      <c r="A1209" s="437">
        <v>45849</v>
      </c>
      <c r="B1209" s="438" t="s">
        <v>2133</v>
      </c>
      <c r="C1209" s="438" t="s">
        <v>174</v>
      </c>
      <c r="D1209" s="438" t="s">
        <v>118</v>
      </c>
      <c r="E1209" s="342">
        <v>1000</v>
      </c>
      <c r="F1209" s="325">
        <f t="shared" si="3"/>
        <v>1.7827139780891614</v>
      </c>
      <c r="G1209" s="326">
        <v>560.94248000000005</v>
      </c>
      <c r="H1209" s="438" t="s">
        <v>583</v>
      </c>
      <c r="I1209" s="129" t="s">
        <v>2164</v>
      </c>
      <c r="J1209" s="129" t="s">
        <v>98</v>
      </c>
      <c r="K1209" s="129" t="s">
        <v>1902</v>
      </c>
      <c r="L1209" s="147" t="s">
        <v>155</v>
      </c>
      <c r="M1209" s="129"/>
      <c r="N1209" s="129"/>
      <c r="O1209" s="129"/>
    </row>
    <row r="1210" spans="1:15" ht="15.6" hidden="1">
      <c r="A1210" s="437">
        <v>45849</v>
      </c>
      <c r="B1210" s="438" t="s">
        <v>2134</v>
      </c>
      <c r="C1210" s="438" t="s">
        <v>174</v>
      </c>
      <c r="D1210" s="438" t="s">
        <v>118</v>
      </c>
      <c r="E1210" s="342">
        <v>1000</v>
      </c>
      <c r="F1210" s="325">
        <f t="shared" si="3"/>
        <v>1.7827139780891614</v>
      </c>
      <c r="G1210" s="326">
        <v>560.94248000000005</v>
      </c>
      <c r="H1210" s="438" t="s">
        <v>583</v>
      </c>
      <c r="I1210" s="129" t="s">
        <v>2164</v>
      </c>
      <c r="J1210" s="129" t="s">
        <v>98</v>
      </c>
      <c r="K1210" s="129" t="s">
        <v>1902</v>
      </c>
      <c r="L1210" s="147" t="s">
        <v>155</v>
      </c>
      <c r="M1210" s="129"/>
      <c r="N1210" s="129"/>
      <c r="O1210" s="129"/>
    </row>
    <row r="1211" spans="1:15" ht="15.6" hidden="1">
      <c r="A1211" s="437">
        <v>45849</v>
      </c>
      <c r="B1211" s="367" t="s">
        <v>1912</v>
      </c>
      <c r="C1211" s="182" t="s">
        <v>126</v>
      </c>
      <c r="D1211" s="439" t="s">
        <v>118</v>
      </c>
      <c r="E1211" s="435">
        <v>500000</v>
      </c>
      <c r="F1211" s="325">
        <f t="shared" si="3"/>
        <v>891.3569890445807</v>
      </c>
      <c r="G1211" s="326">
        <v>560.94248000000005</v>
      </c>
      <c r="H1211" s="438" t="s">
        <v>148</v>
      </c>
      <c r="I1211" s="129" t="s">
        <v>2248</v>
      </c>
      <c r="J1211" s="129" t="s">
        <v>98</v>
      </c>
      <c r="K1211" s="129" t="s">
        <v>1902</v>
      </c>
      <c r="L1211" s="147" t="s">
        <v>155</v>
      </c>
      <c r="M1211" s="129"/>
      <c r="N1211" s="129"/>
      <c r="O1211" s="129"/>
    </row>
    <row r="1212" spans="1:15" ht="15.6" hidden="1">
      <c r="A1212" s="437">
        <v>45849</v>
      </c>
      <c r="B1212" s="367" t="s">
        <v>2249</v>
      </c>
      <c r="C1212" s="182" t="s">
        <v>125</v>
      </c>
      <c r="D1212" s="439"/>
      <c r="E1212" s="435"/>
      <c r="F1212" s="325"/>
      <c r="G1212" s="443">
        <f>+M1212/N1212</f>
        <v>534.23810000000003</v>
      </c>
      <c r="H1212" s="438" t="s">
        <v>148</v>
      </c>
      <c r="I1212" s="129" t="s">
        <v>2250</v>
      </c>
      <c r="J1212" s="129" t="s">
        <v>98</v>
      </c>
      <c r="K1212" s="129" t="s">
        <v>1132</v>
      </c>
      <c r="L1212" s="147" t="s">
        <v>155</v>
      </c>
      <c r="M1212" s="343">
        <v>5342381</v>
      </c>
      <c r="N1212" s="129">
        <v>10000</v>
      </c>
      <c r="O1212" s="129"/>
    </row>
    <row r="1213" spans="1:15" ht="15.6" hidden="1">
      <c r="A1213" s="437">
        <v>45849</v>
      </c>
      <c r="B1213" s="367" t="s">
        <v>2251</v>
      </c>
      <c r="C1213" s="182" t="s">
        <v>127</v>
      </c>
      <c r="D1213" s="182" t="s">
        <v>121</v>
      </c>
      <c r="E1213" s="435">
        <v>400000</v>
      </c>
      <c r="F1213" s="325">
        <f t="shared" ref="F1213:F1244" si="4">E1213/G1213</f>
        <v>748.72982664471135</v>
      </c>
      <c r="G1213" s="443">
        <v>534.23810000000003</v>
      </c>
      <c r="H1213" s="438" t="s">
        <v>148</v>
      </c>
      <c r="I1213" s="129" t="s">
        <v>2252</v>
      </c>
      <c r="J1213" s="129" t="s">
        <v>98</v>
      </c>
      <c r="K1213" s="129" t="s">
        <v>1132</v>
      </c>
      <c r="L1213" s="147" t="s">
        <v>155</v>
      </c>
      <c r="M1213" s="129"/>
      <c r="N1213" s="129"/>
      <c r="O1213" s="129"/>
    </row>
    <row r="1214" spans="1:15" ht="15.6" hidden="1">
      <c r="A1214" s="437">
        <v>45849</v>
      </c>
      <c r="B1214" s="367" t="s">
        <v>2253</v>
      </c>
      <c r="C1214" s="182" t="s">
        <v>127</v>
      </c>
      <c r="D1214" s="182" t="s">
        <v>121</v>
      </c>
      <c r="E1214" s="435">
        <v>255000</v>
      </c>
      <c r="F1214" s="325">
        <f t="shared" si="4"/>
        <v>477.31526448600351</v>
      </c>
      <c r="G1214" s="443">
        <v>534.23810000000003</v>
      </c>
      <c r="H1214" s="438" t="s">
        <v>148</v>
      </c>
      <c r="I1214" s="129" t="s">
        <v>2254</v>
      </c>
      <c r="J1214" s="129" t="s">
        <v>98</v>
      </c>
      <c r="K1214" s="129" t="s">
        <v>1132</v>
      </c>
      <c r="L1214" s="147" t="s">
        <v>155</v>
      </c>
      <c r="M1214" s="129"/>
      <c r="N1214" s="129"/>
      <c r="O1214" s="129"/>
    </row>
    <row r="1215" spans="1:15" ht="15.6" hidden="1">
      <c r="A1215" s="437">
        <v>45849</v>
      </c>
      <c r="B1215" s="367" t="s">
        <v>2255</v>
      </c>
      <c r="C1215" s="439" t="s">
        <v>127</v>
      </c>
      <c r="D1215" s="444" t="s">
        <v>121</v>
      </c>
      <c r="E1215" s="435">
        <v>255000</v>
      </c>
      <c r="F1215" s="325">
        <f t="shared" si="4"/>
        <v>477.31526448600351</v>
      </c>
      <c r="G1215" s="443">
        <v>534.23810000000003</v>
      </c>
      <c r="H1215" s="438" t="s">
        <v>148</v>
      </c>
      <c r="I1215" s="129" t="s">
        <v>2256</v>
      </c>
      <c r="J1215" s="129" t="s">
        <v>98</v>
      </c>
      <c r="K1215" s="129" t="s">
        <v>1132</v>
      </c>
      <c r="L1215" s="147" t="s">
        <v>155</v>
      </c>
      <c r="M1215" s="129"/>
      <c r="N1215" s="129"/>
      <c r="O1215" s="129"/>
    </row>
    <row r="1216" spans="1:15" ht="15.6" hidden="1">
      <c r="A1216" s="437">
        <v>45849</v>
      </c>
      <c r="B1216" s="367" t="s">
        <v>2257</v>
      </c>
      <c r="C1216" s="182" t="s">
        <v>127</v>
      </c>
      <c r="D1216" s="182" t="s">
        <v>121</v>
      </c>
      <c r="E1216" s="435">
        <v>255000</v>
      </c>
      <c r="F1216" s="325">
        <f t="shared" si="4"/>
        <v>477.31526448600351</v>
      </c>
      <c r="G1216" s="443">
        <v>534.23810000000003</v>
      </c>
      <c r="H1216" s="438" t="s">
        <v>148</v>
      </c>
      <c r="I1216" s="129" t="s">
        <v>2258</v>
      </c>
      <c r="J1216" s="129" t="s">
        <v>98</v>
      </c>
      <c r="K1216" s="129" t="s">
        <v>1132</v>
      </c>
      <c r="L1216" s="147" t="s">
        <v>155</v>
      </c>
      <c r="M1216" s="129"/>
      <c r="N1216" s="129"/>
      <c r="O1216" s="129"/>
    </row>
    <row r="1217" spans="1:15" ht="15.6" hidden="1">
      <c r="A1217" s="437">
        <v>45849</v>
      </c>
      <c r="B1217" s="367" t="s">
        <v>2337</v>
      </c>
      <c r="C1217" s="182" t="s">
        <v>127</v>
      </c>
      <c r="D1217" s="182" t="s">
        <v>118</v>
      </c>
      <c r="E1217" s="435">
        <v>230000</v>
      </c>
      <c r="F1217" s="325">
        <f t="shared" si="4"/>
        <v>430.51965032070905</v>
      </c>
      <c r="G1217" s="443">
        <v>534.23810000000003</v>
      </c>
      <c r="H1217" s="438" t="s">
        <v>148</v>
      </c>
      <c r="I1217" s="129" t="s">
        <v>2259</v>
      </c>
      <c r="J1217" s="129" t="s">
        <v>98</v>
      </c>
      <c r="K1217" s="129" t="s">
        <v>1132</v>
      </c>
      <c r="L1217" s="147" t="s">
        <v>155</v>
      </c>
      <c r="M1217" s="129"/>
      <c r="N1217" s="129"/>
      <c r="O1217" s="129"/>
    </row>
    <row r="1218" spans="1:15" ht="15.6" hidden="1">
      <c r="A1218" s="437">
        <v>45849</v>
      </c>
      <c r="B1218" s="367" t="s">
        <v>2338</v>
      </c>
      <c r="C1218" s="439" t="s">
        <v>127</v>
      </c>
      <c r="D1218" s="444" t="s">
        <v>117</v>
      </c>
      <c r="E1218" s="435">
        <v>200000</v>
      </c>
      <c r="F1218" s="325">
        <f t="shared" si="4"/>
        <v>374.36491332235568</v>
      </c>
      <c r="G1218" s="443">
        <v>534.23810000000003</v>
      </c>
      <c r="H1218" s="438" t="s">
        <v>148</v>
      </c>
      <c r="I1218" s="129" t="s">
        <v>2260</v>
      </c>
      <c r="J1218" s="129" t="s">
        <v>98</v>
      </c>
      <c r="K1218" s="129" t="s">
        <v>1132</v>
      </c>
      <c r="L1218" s="147" t="s">
        <v>155</v>
      </c>
      <c r="M1218" s="129"/>
      <c r="N1218" s="129"/>
      <c r="O1218" s="129"/>
    </row>
    <row r="1219" spans="1:15" ht="15.6" hidden="1">
      <c r="A1219" s="437">
        <v>45849</v>
      </c>
      <c r="B1219" s="367" t="s">
        <v>2261</v>
      </c>
      <c r="C1219" s="439" t="s">
        <v>127</v>
      </c>
      <c r="D1219" s="444" t="s">
        <v>117</v>
      </c>
      <c r="E1219" s="435">
        <v>551482</v>
      </c>
      <c r="F1219" s="325">
        <f t="shared" si="4"/>
        <v>1032.2775556441968</v>
      </c>
      <c r="G1219" s="443">
        <v>534.23810000000003</v>
      </c>
      <c r="H1219" s="438" t="s">
        <v>148</v>
      </c>
      <c r="I1219" s="129" t="s">
        <v>2262</v>
      </c>
      <c r="J1219" s="129" t="s">
        <v>98</v>
      </c>
      <c r="K1219" s="129" t="s">
        <v>1132</v>
      </c>
      <c r="L1219" s="147" t="s">
        <v>155</v>
      </c>
      <c r="M1219" s="129"/>
      <c r="N1219" s="129"/>
      <c r="O1219" s="129"/>
    </row>
    <row r="1220" spans="1:15" ht="15.6" hidden="1">
      <c r="A1220" s="437">
        <v>45849</v>
      </c>
      <c r="B1220" s="367" t="s">
        <v>2263</v>
      </c>
      <c r="C1220" s="182" t="s">
        <v>127</v>
      </c>
      <c r="D1220" s="439" t="s">
        <v>117</v>
      </c>
      <c r="E1220" s="435">
        <v>300000</v>
      </c>
      <c r="F1220" s="325">
        <f t="shared" si="4"/>
        <v>561.54736998353349</v>
      </c>
      <c r="G1220" s="443">
        <v>534.23810000000003</v>
      </c>
      <c r="H1220" s="438" t="s">
        <v>148</v>
      </c>
      <c r="I1220" s="129" t="s">
        <v>2264</v>
      </c>
      <c r="J1220" s="129" t="s">
        <v>98</v>
      </c>
      <c r="K1220" s="129" t="s">
        <v>1132</v>
      </c>
      <c r="L1220" s="147" t="s">
        <v>155</v>
      </c>
      <c r="M1220" s="129"/>
      <c r="N1220" s="129"/>
      <c r="O1220" s="129"/>
    </row>
    <row r="1221" spans="1:15" ht="15.6" hidden="1">
      <c r="A1221" s="437">
        <v>45849</v>
      </c>
      <c r="B1221" s="367" t="s">
        <v>2265</v>
      </c>
      <c r="C1221" s="182" t="s">
        <v>127</v>
      </c>
      <c r="D1221" s="439" t="s">
        <v>120</v>
      </c>
      <c r="E1221" s="435">
        <v>238140</v>
      </c>
      <c r="F1221" s="325">
        <f t="shared" si="4"/>
        <v>445.75630229292892</v>
      </c>
      <c r="G1221" s="443">
        <v>534.23810000000003</v>
      </c>
      <c r="H1221" s="438" t="s">
        <v>148</v>
      </c>
      <c r="I1221" s="129" t="s">
        <v>2266</v>
      </c>
      <c r="J1221" s="129" t="s">
        <v>98</v>
      </c>
      <c r="K1221" s="129" t="s">
        <v>1132</v>
      </c>
      <c r="L1221" s="147" t="s">
        <v>155</v>
      </c>
      <c r="M1221" s="129"/>
      <c r="N1221" s="129"/>
      <c r="O1221" s="129"/>
    </row>
    <row r="1222" spans="1:15" ht="15.6" hidden="1">
      <c r="A1222" s="437">
        <v>45849</v>
      </c>
      <c r="B1222" s="367" t="s">
        <v>2339</v>
      </c>
      <c r="C1222" s="439" t="s">
        <v>127</v>
      </c>
      <c r="D1222" s="444" t="s">
        <v>119</v>
      </c>
      <c r="E1222" s="435">
        <v>786600</v>
      </c>
      <c r="F1222" s="325">
        <f t="shared" si="4"/>
        <v>1472.3772040968249</v>
      </c>
      <c r="G1222" s="443">
        <v>534.23810000000003</v>
      </c>
      <c r="H1222" s="438" t="s">
        <v>148</v>
      </c>
      <c r="I1222" s="129" t="s">
        <v>2267</v>
      </c>
      <c r="J1222" s="129" t="s">
        <v>98</v>
      </c>
      <c r="K1222" s="129" t="s">
        <v>1132</v>
      </c>
      <c r="L1222" s="147" t="s">
        <v>155</v>
      </c>
      <c r="M1222" s="129"/>
      <c r="N1222" s="129"/>
      <c r="O1222" s="129"/>
    </row>
    <row r="1223" spans="1:15" ht="15.6" hidden="1">
      <c r="A1223" s="437">
        <v>45849</v>
      </c>
      <c r="B1223" s="367" t="s">
        <v>2340</v>
      </c>
      <c r="C1223" s="439" t="s">
        <v>127</v>
      </c>
      <c r="D1223" s="444" t="s">
        <v>119</v>
      </c>
      <c r="E1223" s="435">
        <v>524400</v>
      </c>
      <c r="F1223" s="325">
        <f t="shared" si="4"/>
        <v>981.58480273121666</v>
      </c>
      <c r="G1223" s="443">
        <v>534.23810000000003</v>
      </c>
      <c r="H1223" s="438" t="s">
        <v>148</v>
      </c>
      <c r="I1223" s="129" t="s">
        <v>2268</v>
      </c>
      <c r="J1223" s="129" t="s">
        <v>98</v>
      </c>
      <c r="K1223" s="129" t="s">
        <v>1132</v>
      </c>
      <c r="L1223" s="147" t="s">
        <v>155</v>
      </c>
      <c r="M1223" s="129"/>
      <c r="N1223" s="129"/>
      <c r="O1223" s="129"/>
    </row>
    <row r="1224" spans="1:15" ht="15.6" hidden="1">
      <c r="A1224" s="437">
        <v>45849</v>
      </c>
      <c r="B1224" s="367" t="s">
        <v>2302</v>
      </c>
      <c r="C1224" s="439" t="s">
        <v>128</v>
      </c>
      <c r="D1224" s="444" t="s">
        <v>118</v>
      </c>
      <c r="E1224" s="435">
        <v>10665</v>
      </c>
      <c r="F1224" s="325">
        <f t="shared" si="4"/>
        <v>19.963009002914617</v>
      </c>
      <c r="G1224" s="443">
        <v>534.23810000000003</v>
      </c>
      <c r="H1224" s="438" t="s">
        <v>148</v>
      </c>
      <c r="I1224" s="129" t="s">
        <v>2270</v>
      </c>
      <c r="J1224" s="129" t="s">
        <v>98</v>
      </c>
      <c r="K1224" s="129" t="s">
        <v>1132</v>
      </c>
      <c r="L1224" s="147" t="s">
        <v>155</v>
      </c>
      <c r="M1224" s="129"/>
      <c r="N1224" s="129"/>
      <c r="O1224" s="129"/>
    </row>
    <row r="1225" spans="1:15" ht="15.6" hidden="1">
      <c r="A1225" s="437">
        <v>45852</v>
      </c>
      <c r="B1225" s="307" t="s">
        <v>2099</v>
      </c>
      <c r="C1225" s="308" t="s">
        <v>174</v>
      </c>
      <c r="D1225" s="309" t="s">
        <v>119</v>
      </c>
      <c r="E1225" s="307">
        <v>1000</v>
      </c>
      <c r="F1225" s="325">
        <f t="shared" si="4"/>
        <v>1.8718245666117783</v>
      </c>
      <c r="G1225" s="443">
        <v>534.23810000000003</v>
      </c>
      <c r="H1225" s="311" t="s">
        <v>153</v>
      </c>
      <c r="I1225" s="312" t="s">
        <v>2115</v>
      </c>
      <c r="J1225" s="129" t="s">
        <v>98</v>
      </c>
      <c r="K1225" s="129" t="s">
        <v>1132</v>
      </c>
      <c r="L1225" s="147" t="s">
        <v>155</v>
      </c>
      <c r="M1225" s="129"/>
      <c r="N1225" s="129"/>
      <c r="O1225" s="129"/>
    </row>
    <row r="1226" spans="1:15" ht="15.6" hidden="1">
      <c r="A1226" s="437">
        <v>45852</v>
      </c>
      <c r="B1226" s="307" t="s">
        <v>2100</v>
      </c>
      <c r="C1226" s="308" t="s">
        <v>174</v>
      </c>
      <c r="D1226" s="309" t="s">
        <v>119</v>
      </c>
      <c r="E1226" s="307">
        <v>1000</v>
      </c>
      <c r="F1226" s="325">
        <f t="shared" si="4"/>
        <v>1.8718245666117783</v>
      </c>
      <c r="G1226" s="443">
        <v>534.23810000000003</v>
      </c>
      <c r="H1226" s="311" t="s">
        <v>153</v>
      </c>
      <c r="I1226" s="312" t="s">
        <v>2115</v>
      </c>
      <c r="J1226" s="129" t="s">
        <v>98</v>
      </c>
      <c r="K1226" s="129" t="s">
        <v>1132</v>
      </c>
      <c r="L1226" s="147" t="s">
        <v>155</v>
      </c>
      <c r="M1226" s="129"/>
      <c r="N1226" s="129"/>
      <c r="O1226" s="129"/>
    </row>
    <row r="1227" spans="1:15" ht="15.6" hidden="1">
      <c r="A1227" s="437">
        <v>45852</v>
      </c>
      <c r="B1227" s="367" t="s">
        <v>2336</v>
      </c>
      <c r="C1227" s="182" t="s">
        <v>127</v>
      </c>
      <c r="D1227" s="445" t="s">
        <v>117</v>
      </c>
      <c r="E1227" s="435">
        <v>200000</v>
      </c>
      <c r="F1227" s="325">
        <f t="shared" si="4"/>
        <v>374.36491332235568</v>
      </c>
      <c r="G1227" s="443">
        <v>534.23810000000003</v>
      </c>
      <c r="H1227" s="438" t="s">
        <v>148</v>
      </c>
      <c r="I1227" s="129" t="s">
        <v>2271</v>
      </c>
      <c r="J1227" s="129" t="s">
        <v>98</v>
      </c>
      <c r="K1227" s="129" t="s">
        <v>1132</v>
      </c>
      <c r="L1227" s="147" t="s">
        <v>155</v>
      </c>
      <c r="M1227" s="129"/>
      <c r="N1227" s="129"/>
      <c r="O1227" s="129"/>
    </row>
    <row r="1228" spans="1:15" ht="15.6" hidden="1">
      <c r="A1228" s="437">
        <v>45853</v>
      </c>
      <c r="B1228" s="307" t="s">
        <v>2105</v>
      </c>
      <c r="C1228" s="308" t="s">
        <v>174</v>
      </c>
      <c r="D1228" s="309" t="s">
        <v>119</v>
      </c>
      <c r="E1228" s="307">
        <v>1000</v>
      </c>
      <c r="F1228" s="325">
        <f t="shared" si="4"/>
        <v>1.8718245666117783</v>
      </c>
      <c r="G1228" s="443">
        <v>534.23810000000003</v>
      </c>
      <c r="H1228" s="311" t="s">
        <v>153</v>
      </c>
      <c r="I1228" s="312" t="s">
        <v>2115</v>
      </c>
      <c r="J1228" s="129" t="s">
        <v>98</v>
      </c>
      <c r="K1228" s="129" t="s">
        <v>1132</v>
      </c>
      <c r="L1228" s="147" t="s">
        <v>155</v>
      </c>
      <c r="M1228" s="129"/>
      <c r="N1228" s="129"/>
      <c r="O1228" s="129"/>
    </row>
    <row r="1229" spans="1:15" ht="15.6" hidden="1">
      <c r="A1229" s="437">
        <v>45853</v>
      </c>
      <c r="B1229" s="307" t="s">
        <v>2104</v>
      </c>
      <c r="C1229" s="308" t="s">
        <v>174</v>
      </c>
      <c r="D1229" s="309" t="s">
        <v>119</v>
      </c>
      <c r="E1229" s="307">
        <v>1000</v>
      </c>
      <c r="F1229" s="325">
        <f t="shared" si="4"/>
        <v>1.8718245666117783</v>
      </c>
      <c r="G1229" s="443">
        <v>534.23810000000003</v>
      </c>
      <c r="H1229" s="311" t="s">
        <v>153</v>
      </c>
      <c r="I1229" s="312" t="s">
        <v>2115</v>
      </c>
      <c r="J1229" s="129" t="s">
        <v>98</v>
      </c>
      <c r="K1229" s="129" t="s">
        <v>1132</v>
      </c>
      <c r="L1229" s="147" t="s">
        <v>155</v>
      </c>
      <c r="M1229" s="129"/>
      <c r="N1229" s="129"/>
      <c r="O1229" s="129"/>
    </row>
    <row r="1230" spans="1:15" ht="15.6" hidden="1">
      <c r="A1230" s="437">
        <v>45853</v>
      </c>
      <c r="B1230" s="307" t="s">
        <v>2100</v>
      </c>
      <c r="C1230" s="308" t="s">
        <v>174</v>
      </c>
      <c r="D1230" s="309" t="s">
        <v>119</v>
      </c>
      <c r="E1230" s="307">
        <v>1000</v>
      </c>
      <c r="F1230" s="325">
        <f t="shared" si="4"/>
        <v>1.8718245666117783</v>
      </c>
      <c r="G1230" s="443">
        <v>534.23810000000003</v>
      </c>
      <c r="H1230" s="311" t="s">
        <v>153</v>
      </c>
      <c r="I1230" s="312" t="s">
        <v>2115</v>
      </c>
      <c r="J1230" s="129" t="s">
        <v>98</v>
      </c>
      <c r="K1230" s="129" t="s">
        <v>1132</v>
      </c>
      <c r="L1230" s="147" t="s">
        <v>155</v>
      </c>
      <c r="M1230" s="129"/>
      <c r="N1230" s="129"/>
      <c r="O1230" s="129"/>
    </row>
    <row r="1231" spans="1:15" ht="15.6" hidden="1">
      <c r="A1231" s="437">
        <v>45853</v>
      </c>
      <c r="B1231" s="438" t="s">
        <v>2135</v>
      </c>
      <c r="C1231" s="438" t="s">
        <v>174</v>
      </c>
      <c r="D1231" s="438" t="s">
        <v>118</v>
      </c>
      <c r="E1231" s="342">
        <v>1000</v>
      </c>
      <c r="F1231" s="325">
        <f t="shared" si="4"/>
        <v>1.8718245666117783</v>
      </c>
      <c r="G1231" s="443">
        <v>534.23810000000003</v>
      </c>
      <c r="H1231" s="438" t="s">
        <v>583</v>
      </c>
      <c r="I1231" s="129" t="s">
        <v>2164</v>
      </c>
      <c r="J1231" s="129" t="s">
        <v>98</v>
      </c>
      <c r="K1231" s="129" t="s">
        <v>1132</v>
      </c>
      <c r="L1231" s="147" t="s">
        <v>155</v>
      </c>
      <c r="M1231" s="129"/>
      <c r="N1231" s="129"/>
      <c r="O1231" s="129"/>
    </row>
    <row r="1232" spans="1:15" ht="15.6" hidden="1">
      <c r="A1232" s="437">
        <v>45853</v>
      </c>
      <c r="B1232" s="438" t="s">
        <v>2136</v>
      </c>
      <c r="C1232" s="438" t="s">
        <v>174</v>
      </c>
      <c r="D1232" s="438" t="s">
        <v>118</v>
      </c>
      <c r="E1232" s="342">
        <v>1000</v>
      </c>
      <c r="F1232" s="325">
        <f t="shared" si="4"/>
        <v>1.8718245666117783</v>
      </c>
      <c r="G1232" s="443">
        <v>534.23810000000003</v>
      </c>
      <c r="H1232" s="438" t="s">
        <v>583</v>
      </c>
      <c r="I1232" s="129" t="s">
        <v>2164</v>
      </c>
      <c r="J1232" s="129" t="s">
        <v>98</v>
      </c>
      <c r="K1232" s="129" t="s">
        <v>1132</v>
      </c>
      <c r="L1232" s="147" t="s">
        <v>155</v>
      </c>
      <c r="M1232" s="129"/>
      <c r="N1232" s="129"/>
      <c r="O1232" s="129"/>
    </row>
    <row r="1233" spans="1:15" ht="15.6" hidden="1">
      <c r="A1233" s="437">
        <v>45853</v>
      </c>
      <c r="B1233" s="438" t="s">
        <v>2137</v>
      </c>
      <c r="C1233" s="438" t="s">
        <v>174</v>
      </c>
      <c r="D1233" s="438" t="s">
        <v>118</v>
      </c>
      <c r="E1233" s="342">
        <v>1000</v>
      </c>
      <c r="F1233" s="325">
        <f t="shared" si="4"/>
        <v>1.8718245666117783</v>
      </c>
      <c r="G1233" s="443">
        <v>534.23810000000003</v>
      </c>
      <c r="H1233" s="438" t="s">
        <v>583</v>
      </c>
      <c r="I1233" s="129" t="s">
        <v>2164</v>
      </c>
      <c r="J1233" s="129" t="s">
        <v>98</v>
      </c>
      <c r="K1233" s="129" t="s">
        <v>1132</v>
      </c>
      <c r="L1233" s="147" t="s">
        <v>155</v>
      </c>
      <c r="M1233" s="129"/>
      <c r="N1233" s="129"/>
      <c r="O1233" s="129"/>
    </row>
    <row r="1234" spans="1:15" ht="15.6" hidden="1">
      <c r="A1234" s="437">
        <v>45853</v>
      </c>
      <c r="B1234" s="344" t="s">
        <v>2272</v>
      </c>
      <c r="C1234" s="344" t="s">
        <v>127</v>
      </c>
      <c r="D1234" s="344" t="s">
        <v>117</v>
      </c>
      <c r="E1234" s="435">
        <v>368700</v>
      </c>
      <c r="F1234" s="325">
        <f t="shared" si="4"/>
        <v>690.1417177097627</v>
      </c>
      <c r="G1234" s="443">
        <v>534.23810000000003</v>
      </c>
      <c r="H1234" s="438" t="s">
        <v>148</v>
      </c>
      <c r="I1234" s="129" t="s">
        <v>2273</v>
      </c>
      <c r="J1234" s="129" t="s">
        <v>98</v>
      </c>
      <c r="K1234" s="129" t="s">
        <v>1132</v>
      </c>
      <c r="L1234" s="147" t="s">
        <v>155</v>
      </c>
      <c r="M1234" s="129"/>
      <c r="N1234" s="129"/>
      <c r="O1234" s="129"/>
    </row>
    <row r="1235" spans="1:15" ht="15.6" hidden="1">
      <c r="A1235" s="437">
        <v>45853</v>
      </c>
      <c r="B1235" s="344" t="s">
        <v>2274</v>
      </c>
      <c r="C1235" s="344" t="s">
        <v>127</v>
      </c>
      <c r="D1235" s="344" t="s">
        <v>117</v>
      </c>
      <c r="E1235" s="435">
        <v>177789</v>
      </c>
      <c r="F1235" s="325">
        <f t="shared" si="4"/>
        <v>332.78981787334146</v>
      </c>
      <c r="G1235" s="443">
        <v>534.23810000000003</v>
      </c>
      <c r="H1235" s="438" t="s">
        <v>148</v>
      </c>
      <c r="I1235" s="129" t="s">
        <v>2275</v>
      </c>
      <c r="J1235" s="129" t="s">
        <v>98</v>
      </c>
      <c r="K1235" s="129" t="s">
        <v>1132</v>
      </c>
      <c r="L1235" s="147" t="s">
        <v>155</v>
      </c>
      <c r="M1235" s="129"/>
      <c r="N1235" s="129"/>
      <c r="O1235" s="129"/>
    </row>
    <row r="1236" spans="1:15" ht="15.6" hidden="1">
      <c r="A1236" s="437">
        <v>45853</v>
      </c>
      <c r="B1236" s="344" t="s">
        <v>2276</v>
      </c>
      <c r="C1236" s="344" t="s">
        <v>127</v>
      </c>
      <c r="D1236" s="344" t="s">
        <v>117</v>
      </c>
      <c r="E1236" s="435">
        <v>118814</v>
      </c>
      <c r="F1236" s="325">
        <f t="shared" si="4"/>
        <v>222.39896405741183</v>
      </c>
      <c r="G1236" s="443">
        <v>534.23810000000003</v>
      </c>
      <c r="H1236" s="438" t="s">
        <v>148</v>
      </c>
      <c r="I1236" s="129" t="s">
        <v>2277</v>
      </c>
      <c r="J1236" s="129" t="s">
        <v>98</v>
      </c>
      <c r="K1236" s="129" t="s">
        <v>1132</v>
      </c>
      <c r="L1236" s="147" t="s">
        <v>155</v>
      </c>
      <c r="M1236" s="129"/>
      <c r="N1236" s="129"/>
      <c r="O1236" s="129"/>
    </row>
    <row r="1237" spans="1:15" ht="15.6" hidden="1">
      <c r="A1237" s="437">
        <v>45853</v>
      </c>
      <c r="B1237" s="344" t="s">
        <v>2278</v>
      </c>
      <c r="C1237" s="344" t="s">
        <v>127</v>
      </c>
      <c r="D1237" s="344" t="s">
        <v>117</v>
      </c>
      <c r="E1237" s="435">
        <v>103494</v>
      </c>
      <c r="F1237" s="325">
        <f t="shared" si="4"/>
        <v>193.72261169691939</v>
      </c>
      <c r="G1237" s="443">
        <v>534.23810000000003</v>
      </c>
      <c r="H1237" s="438" t="s">
        <v>148</v>
      </c>
      <c r="I1237" s="129" t="s">
        <v>2279</v>
      </c>
      <c r="J1237" s="129" t="s">
        <v>98</v>
      </c>
      <c r="K1237" s="129" t="s">
        <v>1132</v>
      </c>
      <c r="L1237" s="147" t="s">
        <v>155</v>
      </c>
      <c r="M1237" s="129"/>
      <c r="N1237" s="129"/>
      <c r="O1237" s="129"/>
    </row>
    <row r="1238" spans="1:15" ht="15.6" hidden="1">
      <c r="A1238" s="437">
        <v>45853</v>
      </c>
      <c r="B1238" s="344" t="s">
        <v>2280</v>
      </c>
      <c r="C1238" s="344" t="s">
        <v>127</v>
      </c>
      <c r="D1238" s="344" t="s">
        <v>117</v>
      </c>
      <c r="E1238" s="435">
        <v>103494</v>
      </c>
      <c r="F1238" s="325">
        <f t="shared" si="4"/>
        <v>193.72261169691939</v>
      </c>
      <c r="G1238" s="443">
        <v>534.23810000000003</v>
      </c>
      <c r="H1238" s="438" t="s">
        <v>148</v>
      </c>
      <c r="I1238" s="129" t="s">
        <v>2281</v>
      </c>
      <c r="J1238" s="129" t="s">
        <v>98</v>
      </c>
      <c r="K1238" s="129" t="s">
        <v>1132</v>
      </c>
      <c r="L1238" s="147" t="s">
        <v>155</v>
      </c>
      <c r="M1238" s="129"/>
      <c r="N1238" s="129"/>
      <c r="O1238" s="129"/>
    </row>
    <row r="1239" spans="1:15" ht="15.6" hidden="1">
      <c r="A1239" s="437">
        <v>45853</v>
      </c>
      <c r="B1239" s="344" t="s">
        <v>2282</v>
      </c>
      <c r="C1239" s="344" t="s">
        <v>127</v>
      </c>
      <c r="D1239" s="344" t="s">
        <v>118</v>
      </c>
      <c r="E1239" s="435">
        <v>124433</v>
      </c>
      <c r="F1239" s="325">
        <f t="shared" si="4"/>
        <v>232.91674629720342</v>
      </c>
      <c r="G1239" s="443">
        <v>534.23810000000003</v>
      </c>
      <c r="H1239" s="438" t="s">
        <v>148</v>
      </c>
      <c r="I1239" s="129" t="s">
        <v>2283</v>
      </c>
      <c r="J1239" s="129" t="s">
        <v>98</v>
      </c>
      <c r="K1239" s="129" t="s">
        <v>1132</v>
      </c>
      <c r="L1239" s="147" t="s">
        <v>155</v>
      </c>
      <c r="M1239" s="129"/>
      <c r="N1239" s="129"/>
      <c r="O1239" s="129"/>
    </row>
    <row r="1240" spans="1:15" ht="15.6" hidden="1">
      <c r="A1240" s="437">
        <v>45853</v>
      </c>
      <c r="B1240" s="344" t="s">
        <v>2284</v>
      </c>
      <c r="C1240" s="344" t="s">
        <v>127</v>
      </c>
      <c r="D1240" s="344" t="s">
        <v>120</v>
      </c>
      <c r="E1240" s="435">
        <v>155330</v>
      </c>
      <c r="F1240" s="325">
        <f t="shared" si="4"/>
        <v>276.90896221658943</v>
      </c>
      <c r="G1240" s="326">
        <v>560.94248000000005</v>
      </c>
      <c r="H1240" s="438" t="s">
        <v>148</v>
      </c>
      <c r="I1240" s="129" t="s">
        <v>2285</v>
      </c>
      <c r="J1240" s="129" t="s">
        <v>98</v>
      </c>
      <c r="K1240" s="129" t="s">
        <v>1902</v>
      </c>
      <c r="L1240" s="147" t="s">
        <v>155</v>
      </c>
      <c r="M1240" s="129"/>
      <c r="N1240" s="129"/>
      <c r="O1240" s="129"/>
    </row>
    <row r="1241" spans="1:15" ht="15.6" hidden="1">
      <c r="A1241" s="437">
        <v>45854</v>
      </c>
      <c r="B1241" s="307" t="s">
        <v>2099</v>
      </c>
      <c r="C1241" s="308" t="s">
        <v>174</v>
      </c>
      <c r="D1241" s="309" t="s">
        <v>119</v>
      </c>
      <c r="E1241" s="307">
        <v>1000</v>
      </c>
      <c r="F1241" s="325">
        <f t="shared" si="4"/>
        <v>1.8718245666117783</v>
      </c>
      <c r="G1241" s="443">
        <v>534.23810000000003</v>
      </c>
      <c r="H1241" s="311" t="s">
        <v>153</v>
      </c>
      <c r="I1241" s="312" t="s">
        <v>2115</v>
      </c>
      <c r="J1241" s="129" t="s">
        <v>98</v>
      </c>
      <c r="K1241" s="129" t="s">
        <v>1132</v>
      </c>
      <c r="L1241" s="147" t="s">
        <v>155</v>
      </c>
      <c r="M1241" s="129"/>
      <c r="N1241" s="129"/>
      <c r="O1241" s="147"/>
    </row>
    <row r="1242" spans="1:15" ht="15.6" hidden="1">
      <c r="A1242" s="437">
        <v>45854</v>
      </c>
      <c r="B1242" s="307" t="s">
        <v>2100</v>
      </c>
      <c r="C1242" s="308" t="s">
        <v>174</v>
      </c>
      <c r="D1242" s="309" t="s">
        <v>119</v>
      </c>
      <c r="E1242" s="307">
        <v>1000</v>
      </c>
      <c r="F1242" s="325">
        <f t="shared" si="4"/>
        <v>1.8718245666117783</v>
      </c>
      <c r="G1242" s="443">
        <v>534.23810000000003</v>
      </c>
      <c r="H1242" s="311" t="s">
        <v>153</v>
      </c>
      <c r="I1242" s="312" t="s">
        <v>2115</v>
      </c>
      <c r="J1242" s="129" t="s">
        <v>98</v>
      </c>
      <c r="K1242" s="129" t="s">
        <v>1132</v>
      </c>
      <c r="L1242" s="147" t="s">
        <v>155</v>
      </c>
      <c r="M1242" s="129"/>
      <c r="N1242" s="129"/>
      <c r="O1242" s="129"/>
    </row>
    <row r="1243" spans="1:15" ht="15.6" hidden="1">
      <c r="A1243" s="437">
        <v>45854</v>
      </c>
      <c r="B1243" s="438" t="s">
        <v>2138</v>
      </c>
      <c r="C1243" s="438" t="s">
        <v>174</v>
      </c>
      <c r="D1243" s="438" t="s">
        <v>118</v>
      </c>
      <c r="E1243" s="342">
        <v>1000</v>
      </c>
      <c r="F1243" s="325">
        <f t="shared" si="4"/>
        <v>1.8718245666117783</v>
      </c>
      <c r="G1243" s="443">
        <v>534.23810000000003</v>
      </c>
      <c r="H1243" s="438" t="s">
        <v>583</v>
      </c>
      <c r="I1243" s="129" t="s">
        <v>2164</v>
      </c>
      <c r="J1243" s="129" t="s">
        <v>98</v>
      </c>
      <c r="K1243" s="129" t="s">
        <v>1132</v>
      </c>
      <c r="L1243" s="147" t="s">
        <v>155</v>
      </c>
      <c r="M1243" s="129"/>
      <c r="N1243" s="129"/>
      <c r="O1243" s="129"/>
    </row>
    <row r="1244" spans="1:15" ht="15.6" hidden="1">
      <c r="A1244" s="437">
        <v>45854</v>
      </c>
      <c r="B1244" s="438" t="s">
        <v>2139</v>
      </c>
      <c r="C1244" s="438" t="s">
        <v>174</v>
      </c>
      <c r="D1244" s="438" t="s">
        <v>118</v>
      </c>
      <c r="E1244" s="342">
        <v>1000</v>
      </c>
      <c r="F1244" s="325">
        <f t="shared" si="4"/>
        <v>1.8718245666117783</v>
      </c>
      <c r="G1244" s="443">
        <v>534.23810000000003</v>
      </c>
      <c r="H1244" s="438" t="s">
        <v>583</v>
      </c>
      <c r="I1244" s="129" t="s">
        <v>2164</v>
      </c>
      <c r="J1244" s="129" t="s">
        <v>98</v>
      </c>
      <c r="K1244" s="129" t="s">
        <v>1132</v>
      </c>
      <c r="L1244" s="147" t="s">
        <v>155</v>
      </c>
      <c r="M1244" s="129"/>
      <c r="N1244" s="129"/>
      <c r="O1244" s="129"/>
    </row>
    <row r="1245" spans="1:15" ht="15.6" hidden="1">
      <c r="A1245" s="437">
        <v>45854</v>
      </c>
      <c r="B1245" s="438" t="s">
        <v>2326</v>
      </c>
      <c r="C1245" s="446" t="s">
        <v>152</v>
      </c>
      <c r="D1245" s="438" t="s">
        <v>119</v>
      </c>
      <c r="E1245" s="342">
        <v>5000</v>
      </c>
      <c r="F1245" s="325">
        <f t="shared" ref="F1245:F1276" si="5">E1245/G1245</f>
        <v>9.3591228330588923</v>
      </c>
      <c r="G1245" s="443">
        <v>534.23810000000003</v>
      </c>
      <c r="H1245" s="438" t="s">
        <v>583</v>
      </c>
      <c r="I1245" s="129" t="s">
        <v>2167</v>
      </c>
      <c r="J1245" s="129" t="s">
        <v>98</v>
      </c>
      <c r="K1245" s="129" t="s">
        <v>1132</v>
      </c>
      <c r="L1245" s="147" t="s">
        <v>155</v>
      </c>
      <c r="M1245" s="129"/>
      <c r="N1245" s="129"/>
      <c r="O1245" s="129"/>
    </row>
    <row r="1246" spans="1:15" s="450" customFormat="1" ht="15.6" hidden="1">
      <c r="A1246" s="437">
        <v>45854</v>
      </c>
      <c r="B1246" s="438" t="s">
        <v>2320</v>
      </c>
      <c r="C1246" s="446" t="s">
        <v>152</v>
      </c>
      <c r="D1246" s="438" t="s">
        <v>119</v>
      </c>
      <c r="E1246" s="342">
        <v>20000</v>
      </c>
      <c r="F1246" s="325">
        <f t="shared" si="5"/>
        <v>35.654279561783227</v>
      </c>
      <c r="G1246" s="326">
        <v>560.94248000000005</v>
      </c>
      <c r="H1246" s="438" t="s">
        <v>153</v>
      </c>
      <c r="I1246" s="129" t="s">
        <v>2321</v>
      </c>
      <c r="J1246" s="129" t="s">
        <v>98</v>
      </c>
      <c r="K1246" s="129" t="s">
        <v>1902</v>
      </c>
      <c r="L1246" s="147" t="s">
        <v>155</v>
      </c>
      <c r="M1246" s="129"/>
      <c r="N1246" s="129"/>
      <c r="O1246" s="129"/>
    </row>
    <row r="1247" spans="1:15" ht="15.6" hidden="1">
      <c r="A1247" s="437">
        <v>45855</v>
      </c>
      <c r="B1247" s="307" t="s">
        <v>2099</v>
      </c>
      <c r="C1247" s="308" t="s">
        <v>174</v>
      </c>
      <c r="D1247" s="309" t="s">
        <v>119</v>
      </c>
      <c r="E1247" s="307">
        <v>1000</v>
      </c>
      <c r="F1247" s="325">
        <f t="shared" si="5"/>
        <v>1.8718245666117783</v>
      </c>
      <c r="G1247" s="443">
        <v>534.23810000000003</v>
      </c>
      <c r="H1247" s="311" t="s">
        <v>153</v>
      </c>
      <c r="I1247" s="312" t="s">
        <v>2115</v>
      </c>
      <c r="J1247" s="129" t="s">
        <v>98</v>
      </c>
      <c r="K1247" s="129" t="s">
        <v>1132</v>
      </c>
      <c r="L1247" s="147" t="s">
        <v>155</v>
      </c>
      <c r="M1247" s="129"/>
      <c r="N1247" s="129"/>
      <c r="O1247" s="129"/>
    </row>
    <row r="1248" spans="1:15" ht="15.6" hidden="1">
      <c r="A1248" s="437">
        <v>45855</v>
      </c>
      <c r="B1248" s="307" t="s">
        <v>2106</v>
      </c>
      <c r="C1248" s="308" t="s">
        <v>174</v>
      </c>
      <c r="D1248" s="309" t="s">
        <v>119</v>
      </c>
      <c r="E1248" s="307">
        <v>1000</v>
      </c>
      <c r="F1248" s="325">
        <f t="shared" si="5"/>
        <v>1.8718245666117783</v>
      </c>
      <c r="G1248" s="443">
        <v>534.23810000000003</v>
      </c>
      <c r="H1248" s="311" t="s">
        <v>153</v>
      </c>
      <c r="I1248" s="312" t="s">
        <v>2115</v>
      </c>
      <c r="J1248" s="129" t="s">
        <v>98</v>
      </c>
      <c r="K1248" s="129" t="s">
        <v>1132</v>
      </c>
      <c r="L1248" s="147" t="s">
        <v>155</v>
      </c>
      <c r="M1248" s="129"/>
      <c r="N1248" s="129"/>
      <c r="O1248" s="129"/>
    </row>
    <row r="1249" spans="1:15" ht="15.6" hidden="1">
      <c r="A1249" s="437">
        <v>45855</v>
      </c>
      <c r="B1249" s="307" t="s">
        <v>2107</v>
      </c>
      <c r="C1249" s="308" t="s">
        <v>174</v>
      </c>
      <c r="D1249" s="309" t="s">
        <v>119</v>
      </c>
      <c r="E1249" s="307">
        <v>1000</v>
      </c>
      <c r="F1249" s="325">
        <f t="shared" si="5"/>
        <v>1.8718245666117783</v>
      </c>
      <c r="G1249" s="443">
        <v>534.23810000000003</v>
      </c>
      <c r="H1249" s="311" t="s">
        <v>153</v>
      </c>
      <c r="I1249" s="312" t="s">
        <v>2115</v>
      </c>
      <c r="J1249" s="129" t="s">
        <v>98</v>
      </c>
      <c r="K1249" s="129" t="s">
        <v>1132</v>
      </c>
      <c r="L1249" s="147" t="s">
        <v>155</v>
      </c>
      <c r="M1249" s="129"/>
      <c r="N1249" s="129"/>
      <c r="O1249" s="129"/>
    </row>
    <row r="1250" spans="1:15" ht="15.6" hidden="1">
      <c r="A1250" s="437">
        <v>45855</v>
      </c>
      <c r="B1250" s="307" t="s">
        <v>2100</v>
      </c>
      <c r="C1250" s="308" t="s">
        <v>174</v>
      </c>
      <c r="D1250" s="309" t="s">
        <v>119</v>
      </c>
      <c r="E1250" s="307">
        <v>1000</v>
      </c>
      <c r="F1250" s="325">
        <f t="shared" si="5"/>
        <v>1.8718245666117783</v>
      </c>
      <c r="G1250" s="443">
        <v>534.23810000000003</v>
      </c>
      <c r="H1250" s="311" t="s">
        <v>153</v>
      </c>
      <c r="I1250" s="312" t="s">
        <v>2115</v>
      </c>
      <c r="J1250" s="129" t="s">
        <v>98</v>
      </c>
      <c r="K1250" s="129" t="s">
        <v>1132</v>
      </c>
      <c r="L1250" s="147" t="s">
        <v>155</v>
      </c>
      <c r="M1250" s="129"/>
      <c r="N1250" s="129"/>
      <c r="O1250" s="129"/>
    </row>
    <row r="1251" spans="1:15" ht="15.6" hidden="1">
      <c r="A1251" s="437">
        <v>45855</v>
      </c>
      <c r="B1251" s="440" t="s">
        <v>2119</v>
      </c>
      <c r="C1251" s="441" t="s">
        <v>174</v>
      </c>
      <c r="D1251" s="440" t="s">
        <v>117</v>
      </c>
      <c r="E1251" s="441">
        <v>1000</v>
      </c>
      <c r="F1251" s="325">
        <f t="shared" si="5"/>
        <v>1.8718245666117783</v>
      </c>
      <c r="G1251" s="443">
        <v>534.23810000000003</v>
      </c>
      <c r="H1251" s="442" t="s">
        <v>200</v>
      </c>
      <c r="I1251" s="316" t="s">
        <v>2126</v>
      </c>
      <c r="J1251" s="129" t="s">
        <v>98</v>
      </c>
      <c r="K1251" s="129" t="s">
        <v>1132</v>
      </c>
      <c r="L1251" s="147" t="s">
        <v>155</v>
      </c>
      <c r="M1251" s="129"/>
      <c r="N1251" s="129"/>
      <c r="O1251" s="129"/>
    </row>
    <row r="1252" spans="1:15" ht="15.6" hidden="1">
      <c r="A1252" s="437">
        <v>45856</v>
      </c>
      <c r="B1252" s="307" t="s">
        <v>2102</v>
      </c>
      <c r="C1252" s="308" t="s">
        <v>174</v>
      </c>
      <c r="D1252" s="309" t="s">
        <v>119</v>
      </c>
      <c r="E1252" s="307">
        <v>1000</v>
      </c>
      <c r="F1252" s="325">
        <f t="shared" si="5"/>
        <v>1.8718245666117783</v>
      </c>
      <c r="G1252" s="443">
        <v>534.23810000000003</v>
      </c>
      <c r="H1252" s="311" t="s">
        <v>153</v>
      </c>
      <c r="I1252" s="312" t="s">
        <v>2115</v>
      </c>
      <c r="J1252" s="129" t="s">
        <v>98</v>
      </c>
      <c r="K1252" s="129" t="s">
        <v>1132</v>
      </c>
      <c r="L1252" s="147" t="s">
        <v>155</v>
      </c>
      <c r="M1252" s="129"/>
      <c r="N1252" s="129"/>
      <c r="O1252" s="129"/>
    </row>
    <row r="1253" spans="1:15" ht="15.6" hidden="1">
      <c r="A1253" s="437">
        <v>45856</v>
      </c>
      <c r="B1253" s="307" t="s">
        <v>2108</v>
      </c>
      <c r="C1253" s="308" t="s">
        <v>174</v>
      </c>
      <c r="D1253" s="309" t="s">
        <v>119</v>
      </c>
      <c r="E1253" s="307">
        <v>1000</v>
      </c>
      <c r="F1253" s="325">
        <f t="shared" si="5"/>
        <v>1.8718245666117783</v>
      </c>
      <c r="G1253" s="443">
        <v>534.23810000000003</v>
      </c>
      <c r="H1253" s="311" t="s">
        <v>153</v>
      </c>
      <c r="I1253" s="312" t="s">
        <v>2115</v>
      </c>
      <c r="J1253" s="129" t="s">
        <v>98</v>
      </c>
      <c r="K1253" s="129" t="s">
        <v>1132</v>
      </c>
      <c r="L1253" s="147" t="s">
        <v>155</v>
      </c>
      <c r="M1253" s="129"/>
      <c r="N1253" s="129"/>
      <c r="O1253" s="129"/>
    </row>
    <row r="1254" spans="1:15" ht="15.6" hidden="1">
      <c r="A1254" s="437">
        <v>45856</v>
      </c>
      <c r="B1254" s="307" t="s">
        <v>2109</v>
      </c>
      <c r="C1254" s="308" t="s">
        <v>174</v>
      </c>
      <c r="D1254" s="309" t="s">
        <v>119</v>
      </c>
      <c r="E1254" s="307">
        <v>1000</v>
      </c>
      <c r="F1254" s="325">
        <f t="shared" si="5"/>
        <v>1.8718245666117783</v>
      </c>
      <c r="G1254" s="443">
        <v>534.23810000000003</v>
      </c>
      <c r="H1254" s="311" t="s">
        <v>153</v>
      </c>
      <c r="I1254" s="312" t="s">
        <v>2115</v>
      </c>
      <c r="J1254" s="129" t="s">
        <v>98</v>
      </c>
      <c r="K1254" s="129" t="s">
        <v>1132</v>
      </c>
      <c r="L1254" s="147" t="s">
        <v>155</v>
      </c>
      <c r="M1254" s="129"/>
      <c r="N1254" s="129"/>
      <c r="O1254" s="129"/>
    </row>
    <row r="1255" spans="1:15" ht="15.6" hidden="1">
      <c r="A1255" s="437">
        <v>45856</v>
      </c>
      <c r="B1255" s="307" t="s">
        <v>2110</v>
      </c>
      <c r="C1255" s="308" t="s">
        <v>174</v>
      </c>
      <c r="D1255" s="309" t="s">
        <v>119</v>
      </c>
      <c r="E1255" s="307">
        <v>1000</v>
      </c>
      <c r="F1255" s="325">
        <f t="shared" si="5"/>
        <v>1.8718245666117783</v>
      </c>
      <c r="G1255" s="447">
        <v>534.23810000000003</v>
      </c>
      <c r="H1255" s="311" t="s">
        <v>153</v>
      </c>
      <c r="I1255" s="312" t="s">
        <v>2115</v>
      </c>
      <c r="J1255" s="129" t="s">
        <v>98</v>
      </c>
      <c r="K1255" s="129" t="s">
        <v>1132</v>
      </c>
      <c r="L1255" s="147" t="s">
        <v>155</v>
      </c>
      <c r="M1255" s="129"/>
      <c r="N1255" s="129"/>
      <c r="O1255" s="129"/>
    </row>
    <row r="1256" spans="1:15" ht="15.6" hidden="1">
      <c r="A1256" s="437">
        <v>45856</v>
      </c>
      <c r="B1256" s="307" t="s">
        <v>2111</v>
      </c>
      <c r="C1256" s="308" t="s">
        <v>174</v>
      </c>
      <c r="D1256" s="309" t="s">
        <v>119</v>
      </c>
      <c r="E1256" s="307">
        <v>1000</v>
      </c>
      <c r="F1256" s="325">
        <f t="shared" si="5"/>
        <v>1.8718245666117783</v>
      </c>
      <c r="G1256" s="447">
        <v>534.23810000000003</v>
      </c>
      <c r="H1256" s="311" t="s">
        <v>153</v>
      </c>
      <c r="I1256" s="312" t="s">
        <v>2115</v>
      </c>
      <c r="J1256" s="129" t="s">
        <v>98</v>
      </c>
      <c r="K1256" s="129" t="s">
        <v>1132</v>
      </c>
      <c r="L1256" s="147" t="s">
        <v>155</v>
      </c>
      <c r="M1256" s="129"/>
      <c r="N1256" s="129"/>
      <c r="O1256" s="129"/>
    </row>
    <row r="1257" spans="1:15" ht="15.6" hidden="1">
      <c r="A1257" s="437">
        <v>45856</v>
      </c>
      <c r="B1257" s="307" t="s">
        <v>2100</v>
      </c>
      <c r="C1257" s="308" t="s">
        <v>174</v>
      </c>
      <c r="D1257" s="309" t="s">
        <v>119</v>
      </c>
      <c r="E1257" s="307">
        <v>1000</v>
      </c>
      <c r="F1257" s="325">
        <f t="shared" si="5"/>
        <v>1.8718245666117783</v>
      </c>
      <c r="G1257" s="447">
        <v>534.23810000000003</v>
      </c>
      <c r="H1257" s="311" t="s">
        <v>153</v>
      </c>
      <c r="I1257" s="312" t="s">
        <v>2115</v>
      </c>
      <c r="J1257" s="129" t="s">
        <v>98</v>
      </c>
      <c r="K1257" s="129" t="s">
        <v>1132</v>
      </c>
      <c r="L1257" s="147" t="s">
        <v>155</v>
      </c>
      <c r="M1257" s="129"/>
      <c r="N1257" s="129"/>
      <c r="O1257" s="129"/>
    </row>
    <row r="1258" spans="1:15" ht="15.6" hidden="1">
      <c r="A1258" s="437">
        <v>45859</v>
      </c>
      <c r="B1258" s="307" t="s">
        <v>2099</v>
      </c>
      <c r="C1258" s="308" t="s">
        <v>174</v>
      </c>
      <c r="D1258" s="309" t="s">
        <v>119</v>
      </c>
      <c r="E1258" s="307">
        <v>1000</v>
      </c>
      <c r="F1258" s="325">
        <f t="shared" si="5"/>
        <v>1.8718245666117783</v>
      </c>
      <c r="G1258" s="447">
        <v>534.23810000000003</v>
      </c>
      <c r="H1258" s="311" t="s">
        <v>153</v>
      </c>
      <c r="I1258" s="312" t="s">
        <v>2115</v>
      </c>
      <c r="J1258" s="129" t="s">
        <v>98</v>
      </c>
      <c r="K1258" s="129" t="s">
        <v>1132</v>
      </c>
      <c r="L1258" s="147" t="s">
        <v>155</v>
      </c>
      <c r="M1258" s="129"/>
      <c r="N1258" s="129"/>
      <c r="O1258" s="129"/>
    </row>
    <row r="1259" spans="1:15" ht="15.6" hidden="1">
      <c r="A1259" s="437">
        <v>45859</v>
      </c>
      <c r="B1259" s="307" t="s">
        <v>2100</v>
      </c>
      <c r="C1259" s="308" t="s">
        <v>174</v>
      </c>
      <c r="D1259" s="309" t="s">
        <v>119</v>
      </c>
      <c r="E1259" s="307">
        <v>1000</v>
      </c>
      <c r="F1259" s="325">
        <f t="shared" si="5"/>
        <v>1.8718245666117783</v>
      </c>
      <c r="G1259" s="447">
        <v>534.23810000000003</v>
      </c>
      <c r="H1259" s="311" t="s">
        <v>153</v>
      </c>
      <c r="I1259" s="312" t="s">
        <v>2115</v>
      </c>
      <c r="J1259" s="129" t="s">
        <v>98</v>
      </c>
      <c r="K1259" s="129" t="s">
        <v>1132</v>
      </c>
      <c r="L1259" s="147" t="s">
        <v>155</v>
      </c>
      <c r="M1259" s="129"/>
      <c r="N1259" s="129"/>
      <c r="O1259" s="129"/>
    </row>
    <row r="1260" spans="1:15" ht="15.6" hidden="1">
      <c r="A1260" s="437">
        <v>45859</v>
      </c>
      <c r="B1260" s="438" t="s">
        <v>2177</v>
      </c>
      <c r="C1260" s="438" t="s">
        <v>174</v>
      </c>
      <c r="D1260" s="438" t="s">
        <v>117</v>
      </c>
      <c r="E1260" s="342">
        <v>2000</v>
      </c>
      <c r="F1260" s="325">
        <f t="shared" si="5"/>
        <v>3.7436491332235566</v>
      </c>
      <c r="G1260" s="447">
        <v>534.23810000000003</v>
      </c>
      <c r="H1260" s="438" t="s">
        <v>190</v>
      </c>
      <c r="I1260" s="129" t="s">
        <v>2184</v>
      </c>
      <c r="J1260" s="129" t="s">
        <v>98</v>
      </c>
      <c r="K1260" s="129" t="s">
        <v>1132</v>
      </c>
      <c r="L1260" s="147" t="s">
        <v>155</v>
      </c>
      <c r="M1260" s="129"/>
      <c r="N1260" s="129"/>
      <c r="O1260" s="129"/>
    </row>
    <row r="1261" spans="1:15" ht="15.6" hidden="1">
      <c r="A1261" s="437">
        <v>45859</v>
      </c>
      <c r="B1261" s="438" t="s">
        <v>2178</v>
      </c>
      <c r="C1261" s="438" t="s">
        <v>174</v>
      </c>
      <c r="D1261" s="438" t="s">
        <v>117</v>
      </c>
      <c r="E1261" s="342">
        <v>1500</v>
      </c>
      <c r="F1261" s="325">
        <f t="shared" si="5"/>
        <v>2.8077368499176676</v>
      </c>
      <c r="G1261" s="447">
        <v>534.23810000000003</v>
      </c>
      <c r="H1261" s="438" t="s">
        <v>190</v>
      </c>
      <c r="I1261" s="129" t="s">
        <v>2184</v>
      </c>
      <c r="J1261" s="129" t="s">
        <v>98</v>
      </c>
      <c r="K1261" s="129" t="s">
        <v>1132</v>
      </c>
      <c r="L1261" s="147" t="s">
        <v>155</v>
      </c>
      <c r="M1261" s="129"/>
      <c r="N1261" s="129"/>
      <c r="O1261" s="129"/>
    </row>
    <row r="1262" spans="1:15" ht="15.6" hidden="1">
      <c r="A1262" s="437">
        <v>45859</v>
      </c>
      <c r="B1262" s="438" t="s">
        <v>2179</v>
      </c>
      <c r="C1262" s="438" t="s">
        <v>174</v>
      </c>
      <c r="D1262" s="438" t="s">
        <v>117</v>
      </c>
      <c r="E1262" s="342">
        <v>1500</v>
      </c>
      <c r="F1262" s="325">
        <f t="shared" si="5"/>
        <v>2.8077368499176676</v>
      </c>
      <c r="G1262" s="447">
        <v>534.23810000000003</v>
      </c>
      <c r="H1262" s="438" t="s">
        <v>190</v>
      </c>
      <c r="I1262" s="129" t="s">
        <v>2184</v>
      </c>
      <c r="J1262" s="129" t="s">
        <v>98</v>
      </c>
      <c r="K1262" s="129" t="s">
        <v>1132</v>
      </c>
      <c r="L1262" s="147" t="s">
        <v>155</v>
      </c>
      <c r="M1262" s="129"/>
      <c r="N1262" s="129"/>
      <c r="O1262" s="129"/>
    </row>
    <row r="1263" spans="1:15" ht="15.6" hidden="1">
      <c r="A1263" s="437">
        <v>45859</v>
      </c>
      <c r="B1263" s="438" t="s">
        <v>2180</v>
      </c>
      <c r="C1263" s="438" t="s">
        <v>174</v>
      </c>
      <c r="D1263" s="438" t="s">
        <v>117</v>
      </c>
      <c r="E1263" s="342">
        <v>2000</v>
      </c>
      <c r="F1263" s="325">
        <f t="shared" si="5"/>
        <v>3.7436491332235566</v>
      </c>
      <c r="G1263" s="447">
        <v>534.23810000000003</v>
      </c>
      <c r="H1263" s="438" t="s">
        <v>190</v>
      </c>
      <c r="I1263" s="129" t="s">
        <v>2184</v>
      </c>
      <c r="J1263" s="129" t="s">
        <v>98</v>
      </c>
      <c r="K1263" s="129" t="s">
        <v>1132</v>
      </c>
      <c r="L1263" s="147" t="s">
        <v>155</v>
      </c>
      <c r="M1263" s="129"/>
      <c r="N1263" s="129"/>
      <c r="O1263" s="129"/>
    </row>
    <row r="1264" spans="1:15" ht="15.6" hidden="1">
      <c r="A1264" s="437">
        <v>45859</v>
      </c>
      <c r="B1264" s="438" t="s">
        <v>2181</v>
      </c>
      <c r="C1264" s="438" t="s">
        <v>174</v>
      </c>
      <c r="D1264" s="438" t="s">
        <v>117</v>
      </c>
      <c r="E1264" s="342">
        <v>2000</v>
      </c>
      <c r="F1264" s="325">
        <f t="shared" si="5"/>
        <v>3.7436491332235566</v>
      </c>
      <c r="G1264" s="447">
        <v>534.23810000000003</v>
      </c>
      <c r="H1264" s="438" t="s">
        <v>190</v>
      </c>
      <c r="I1264" s="129" t="s">
        <v>2184</v>
      </c>
      <c r="J1264" s="129" t="s">
        <v>98</v>
      </c>
      <c r="K1264" s="129" t="s">
        <v>1132</v>
      </c>
      <c r="L1264" s="147" t="s">
        <v>155</v>
      </c>
      <c r="M1264" s="129"/>
      <c r="N1264" s="129"/>
      <c r="O1264" s="129"/>
    </row>
    <row r="1265" spans="1:15" ht="15.6" hidden="1">
      <c r="A1265" s="437">
        <v>45859</v>
      </c>
      <c r="B1265" s="438" t="s">
        <v>2182</v>
      </c>
      <c r="C1265" s="438" t="s">
        <v>174</v>
      </c>
      <c r="D1265" s="438" t="s">
        <v>117</v>
      </c>
      <c r="E1265" s="342">
        <v>1000</v>
      </c>
      <c r="F1265" s="325">
        <f t="shared" si="5"/>
        <v>1.8718245666117783</v>
      </c>
      <c r="G1265" s="447">
        <v>534.23810000000003</v>
      </c>
      <c r="H1265" s="438" t="s">
        <v>190</v>
      </c>
      <c r="I1265" s="129" t="s">
        <v>2184</v>
      </c>
      <c r="J1265" s="129" t="s">
        <v>98</v>
      </c>
      <c r="K1265" s="129" t="s">
        <v>1132</v>
      </c>
      <c r="L1265" s="147" t="s">
        <v>155</v>
      </c>
      <c r="M1265" s="129"/>
      <c r="N1265" s="129"/>
      <c r="O1265" s="129"/>
    </row>
    <row r="1266" spans="1:15" ht="15.6" hidden="1">
      <c r="A1266" s="437">
        <v>45859</v>
      </c>
      <c r="B1266" s="438" t="s">
        <v>817</v>
      </c>
      <c r="C1266" s="438" t="s">
        <v>172</v>
      </c>
      <c r="D1266" s="438" t="s">
        <v>118</v>
      </c>
      <c r="E1266" s="342">
        <v>31250</v>
      </c>
      <c r="F1266" s="325">
        <f t="shared" si="5"/>
        <v>58.494517706618076</v>
      </c>
      <c r="G1266" s="447">
        <v>534.23810000000003</v>
      </c>
      <c r="H1266" s="253" t="s">
        <v>190</v>
      </c>
      <c r="I1266" s="131" t="s">
        <v>2185</v>
      </c>
      <c r="J1266" s="129" t="s">
        <v>98</v>
      </c>
      <c r="K1266" s="129" t="s">
        <v>1132</v>
      </c>
      <c r="L1266" s="147" t="s">
        <v>155</v>
      </c>
      <c r="M1266" s="129"/>
      <c r="N1266" s="129"/>
      <c r="O1266" s="129"/>
    </row>
    <row r="1267" spans="1:15" ht="15.6" hidden="1">
      <c r="A1267" s="437">
        <v>45859</v>
      </c>
      <c r="B1267" s="184" t="s">
        <v>2194</v>
      </c>
      <c r="C1267" s="184" t="s">
        <v>174</v>
      </c>
      <c r="D1267" s="184" t="s">
        <v>117</v>
      </c>
      <c r="E1267" s="342">
        <v>2000</v>
      </c>
      <c r="F1267" s="325">
        <f t="shared" si="5"/>
        <v>3.7436491332235566</v>
      </c>
      <c r="G1267" s="447">
        <v>534.23810000000003</v>
      </c>
      <c r="H1267" s="184" t="s">
        <v>193</v>
      </c>
      <c r="I1267" s="184" t="s">
        <v>2200</v>
      </c>
      <c r="J1267" s="129" t="s">
        <v>98</v>
      </c>
      <c r="K1267" s="129" t="s">
        <v>1132</v>
      </c>
      <c r="L1267" s="147" t="s">
        <v>155</v>
      </c>
      <c r="M1267" s="129"/>
      <c r="N1267" s="129"/>
      <c r="O1267" s="129"/>
    </row>
    <row r="1268" spans="1:15" ht="15.6" hidden="1">
      <c r="A1268" s="437">
        <v>45859</v>
      </c>
      <c r="B1268" s="184" t="s">
        <v>2195</v>
      </c>
      <c r="C1268" s="184" t="s">
        <v>174</v>
      </c>
      <c r="D1268" s="184" t="s">
        <v>117</v>
      </c>
      <c r="E1268" s="342">
        <v>2000</v>
      </c>
      <c r="F1268" s="325">
        <f t="shared" si="5"/>
        <v>3.7436491332235566</v>
      </c>
      <c r="G1268" s="447">
        <v>534.23810000000003</v>
      </c>
      <c r="H1268" s="184" t="s">
        <v>193</v>
      </c>
      <c r="I1268" s="184" t="s">
        <v>2200</v>
      </c>
      <c r="J1268" s="129" t="s">
        <v>98</v>
      </c>
      <c r="K1268" s="129" t="s">
        <v>1132</v>
      </c>
      <c r="L1268" s="147" t="s">
        <v>155</v>
      </c>
      <c r="M1268" s="129"/>
      <c r="N1268" s="129"/>
      <c r="O1268" s="129"/>
    </row>
    <row r="1269" spans="1:15" ht="15.6" hidden="1">
      <c r="A1269" s="437">
        <v>45859</v>
      </c>
      <c r="B1269" s="184" t="s">
        <v>2196</v>
      </c>
      <c r="C1269" s="184" t="s">
        <v>174</v>
      </c>
      <c r="D1269" s="184" t="s">
        <v>117</v>
      </c>
      <c r="E1269" s="342">
        <v>3000</v>
      </c>
      <c r="F1269" s="325">
        <f t="shared" si="5"/>
        <v>5.6154736998353352</v>
      </c>
      <c r="G1269" s="447">
        <v>534.23810000000003</v>
      </c>
      <c r="H1269" s="184" t="s">
        <v>193</v>
      </c>
      <c r="I1269" s="184" t="s">
        <v>2200</v>
      </c>
      <c r="J1269" s="129" t="s">
        <v>98</v>
      </c>
      <c r="K1269" s="129" t="s">
        <v>1132</v>
      </c>
      <c r="L1269" s="147" t="s">
        <v>155</v>
      </c>
      <c r="M1269" s="129"/>
      <c r="N1269" s="129"/>
      <c r="O1269" s="129"/>
    </row>
    <row r="1270" spans="1:15" ht="15.6" hidden="1">
      <c r="A1270" s="437">
        <v>45859</v>
      </c>
      <c r="B1270" s="184" t="s">
        <v>817</v>
      </c>
      <c r="C1270" s="184" t="s">
        <v>172</v>
      </c>
      <c r="D1270" s="438" t="s">
        <v>118</v>
      </c>
      <c r="E1270" s="342">
        <v>31250</v>
      </c>
      <c r="F1270" s="325">
        <f t="shared" si="5"/>
        <v>58.494517706618076</v>
      </c>
      <c r="G1270" s="447">
        <v>534.23810000000003</v>
      </c>
      <c r="H1270" s="253" t="s">
        <v>193</v>
      </c>
      <c r="I1270" s="253" t="s">
        <v>2202</v>
      </c>
      <c r="J1270" s="129" t="s">
        <v>98</v>
      </c>
      <c r="K1270" s="129" t="s">
        <v>1132</v>
      </c>
      <c r="L1270" s="147" t="s">
        <v>155</v>
      </c>
      <c r="M1270" s="129"/>
      <c r="N1270" s="129"/>
      <c r="O1270" s="129"/>
    </row>
    <row r="1271" spans="1:15" ht="15.6" hidden="1">
      <c r="A1271" s="437">
        <v>45860</v>
      </c>
      <c r="B1271" s="307" t="s">
        <v>2099</v>
      </c>
      <c r="C1271" s="308" t="s">
        <v>174</v>
      </c>
      <c r="D1271" s="309" t="s">
        <v>119</v>
      </c>
      <c r="E1271" s="307">
        <v>1000</v>
      </c>
      <c r="F1271" s="325">
        <f t="shared" si="5"/>
        <v>1.8718245666117783</v>
      </c>
      <c r="G1271" s="447">
        <v>534.23810000000003</v>
      </c>
      <c r="H1271" s="311" t="s">
        <v>153</v>
      </c>
      <c r="I1271" s="312" t="s">
        <v>2115</v>
      </c>
      <c r="J1271" s="129" t="s">
        <v>98</v>
      </c>
      <c r="K1271" s="129" t="s">
        <v>1132</v>
      </c>
      <c r="L1271" s="147" t="s">
        <v>155</v>
      </c>
      <c r="M1271" s="129"/>
      <c r="N1271" s="129"/>
      <c r="O1271" s="129"/>
    </row>
    <row r="1272" spans="1:15" ht="15.6" hidden="1">
      <c r="A1272" s="437">
        <v>45860</v>
      </c>
      <c r="B1272" s="307" t="s">
        <v>2112</v>
      </c>
      <c r="C1272" s="308" t="s">
        <v>174</v>
      </c>
      <c r="D1272" s="309" t="s">
        <v>119</v>
      </c>
      <c r="E1272" s="307">
        <v>1000</v>
      </c>
      <c r="F1272" s="325">
        <f t="shared" si="5"/>
        <v>1.8718245666117783</v>
      </c>
      <c r="G1272" s="447">
        <v>534.23810000000003</v>
      </c>
      <c r="H1272" s="311" t="s">
        <v>153</v>
      </c>
      <c r="I1272" s="312" t="s">
        <v>2115</v>
      </c>
      <c r="J1272" s="129" t="s">
        <v>98</v>
      </c>
      <c r="K1272" s="129" t="s">
        <v>1132</v>
      </c>
      <c r="L1272" s="147" t="s">
        <v>155</v>
      </c>
      <c r="M1272" s="129"/>
      <c r="N1272" s="129"/>
      <c r="O1272" s="129"/>
    </row>
    <row r="1273" spans="1:15" ht="15.6" hidden="1">
      <c r="A1273" s="437">
        <v>45860</v>
      </c>
      <c r="B1273" s="438" t="s">
        <v>2140</v>
      </c>
      <c r="C1273" s="438" t="s">
        <v>174</v>
      </c>
      <c r="D1273" s="438" t="s">
        <v>118</v>
      </c>
      <c r="E1273" s="342">
        <v>1000</v>
      </c>
      <c r="F1273" s="325">
        <f t="shared" si="5"/>
        <v>1.8718245666117783</v>
      </c>
      <c r="G1273" s="447">
        <v>534.23810000000003</v>
      </c>
      <c r="H1273" s="438" t="s">
        <v>583</v>
      </c>
      <c r="I1273" s="129" t="s">
        <v>2164</v>
      </c>
      <c r="J1273" s="129" t="s">
        <v>98</v>
      </c>
      <c r="K1273" s="129" t="s">
        <v>1132</v>
      </c>
      <c r="L1273" s="147" t="s">
        <v>155</v>
      </c>
      <c r="M1273" s="129"/>
      <c r="N1273" s="129"/>
      <c r="O1273" s="129"/>
    </row>
    <row r="1274" spans="1:15" ht="15.6" hidden="1">
      <c r="A1274" s="437">
        <v>45860</v>
      </c>
      <c r="B1274" s="438" t="s">
        <v>2141</v>
      </c>
      <c r="C1274" s="438" t="s">
        <v>174</v>
      </c>
      <c r="D1274" s="438" t="s">
        <v>118</v>
      </c>
      <c r="E1274" s="342">
        <v>1000</v>
      </c>
      <c r="F1274" s="325">
        <f t="shared" si="5"/>
        <v>1.8718245666117783</v>
      </c>
      <c r="G1274" s="447">
        <v>534.23810000000003</v>
      </c>
      <c r="H1274" s="438" t="s">
        <v>583</v>
      </c>
      <c r="I1274" s="129" t="s">
        <v>2164</v>
      </c>
      <c r="J1274" s="129" t="s">
        <v>98</v>
      </c>
      <c r="K1274" s="129" t="s">
        <v>1132</v>
      </c>
      <c r="L1274" s="147" t="s">
        <v>155</v>
      </c>
      <c r="M1274" s="129"/>
      <c r="N1274" s="129"/>
      <c r="O1274" s="129"/>
    </row>
    <row r="1275" spans="1:15" ht="15.6" hidden="1">
      <c r="A1275" s="437">
        <v>45860</v>
      </c>
      <c r="B1275" s="438" t="s">
        <v>2142</v>
      </c>
      <c r="C1275" s="438" t="s">
        <v>174</v>
      </c>
      <c r="D1275" s="438" t="s">
        <v>118</v>
      </c>
      <c r="E1275" s="342">
        <v>1000</v>
      </c>
      <c r="F1275" s="325">
        <f t="shared" si="5"/>
        <v>1.8718245666117783</v>
      </c>
      <c r="G1275" s="447">
        <v>534.23810000000003</v>
      </c>
      <c r="H1275" s="438" t="s">
        <v>583</v>
      </c>
      <c r="I1275" s="129" t="s">
        <v>2164</v>
      </c>
      <c r="J1275" s="129" t="s">
        <v>98</v>
      </c>
      <c r="K1275" s="129" t="s">
        <v>1132</v>
      </c>
      <c r="L1275" s="147" t="s">
        <v>155</v>
      </c>
      <c r="M1275" s="129"/>
      <c r="N1275" s="129"/>
      <c r="O1275" s="129"/>
    </row>
    <row r="1276" spans="1:15" ht="15.6" hidden="1">
      <c r="A1276" s="437">
        <v>45860</v>
      </c>
      <c r="B1276" s="438" t="s">
        <v>2143</v>
      </c>
      <c r="C1276" s="438" t="s">
        <v>174</v>
      </c>
      <c r="D1276" s="438" t="s">
        <v>118</v>
      </c>
      <c r="E1276" s="342">
        <v>1000</v>
      </c>
      <c r="F1276" s="325">
        <f t="shared" si="5"/>
        <v>1.8718245666117783</v>
      </c>
      <c r="G1276" s="447">
        <v>534.23810000000003</v>
      </c>
      <c r="H1276" s="438" t="s">
        <v>583</v>
      </c>
      <c r="I1276" s="129" t="s">
        <v>2164</v>
      </c>
      <c r="J1276" s="129" t="s">
        <v>98</v>
      </c>
      <c r="K1276" s="129" t="s">
        <v>1132</v>
      </c>
      <c r="L1276" s="147" t="s">
        <v>155</v>
      </c>
      <c r="M1276" s="129"/>
      <c r="N1276" s="129"/>
      <c r="O1276" s="129"/>
    </row>
    <row r="1277" spans="1:15" ht="15.6" hidden="1">
      <c r="A1277" s="437">
        <v>45860</v>
      </c>
      <c r="B1277" s="438" t="s">
        <v>2144</v>
      </c>
      <c r="C1277" s="438" t="s">
        <v>174</v>
      </c>
      <c r="D1277" s="438" t="s">
        <v>118</v>
      </c>
      <c r="E1277" s="342">
        <v>1000</v>
      </c>
      <c r="F1277" s="325">
        <f t="shared" ref="F1277:F1282" si="6">E1277/G1277</f>
        <v>1.8718245666117783</v>
      </c>
      <c r="G1277" s="447">
        <v>534.23810000000003</v>
      </c>
      <c r="H1277" s="438" t="s">
        <v>583</v>
      </c>
      <c r="I1277" s="129" t="s">
        <v>2164</v>
      </c>
      <c r="J1277" s="129" t="s">
        <v>98</v>
      </c>
      <c r="K1277" s="129" t="s">
        <v>1132</v>
      </c>
      <c r="L1277" s="147" t="s">
        <v>155</v>
      </c>
      <c r="M1277" s="343"/>
      <c r="N1277" s="343"/>
      <c r="O1277" s="129"/>
    </row>
    <row r="1278" spans="1:15" ht="15.6" hidden="1">
      <c r="A1278" s="437">
        <v>45860</v>
      </c>
      <c r="B1278" s="184" t="s">
        <v>2334</v>
      </c>
      <c r="C1278" s="184" t="s">
        <v>152</v>
      </c>
      <c r="D1278" s="184" t="s">
        <v>117</v>
      </c>
      <c r="E1278" s="249">
        <v>5000</v>
      </c>
      <c r="F1278" s="325">
        <f t="shared" si="6"/>
        <v>9.3591228330588923</v>
      </c>
      <c r="G1278" s="447">
        <v>534.23810000000003</v>
      </c>
      <c r="H1278" s="248" t="s">
        <v>437</v>
      </c>
      <c r="I1278" s="184" t="s">
        <v>2216</v>
      </c>
      <c r="J1278" s="129" t="s">
        <v>98</v>
      </c>
      <c r="K1278" s="129" t="s">
        <v>1132</v>
      </c>
      <c r="L1278" s="147" t="s">
        <v>155</v>
      </c>
      <c r="M1278" s="129"/>
      <c r="N1278" s="129"/>
      <c r="O1278" s="129"/>
    </row>
    <row r="1279" spans="1:15" ht="15.6" hidden="1">
      <c r="A1279" s="437">
        <v>45860</v>
      </c>
      <c r="B1279" s="184" t="s">
        <v>2204</v>
      </c>
      <c r="C1279" s="248" t="s">
        <v>196</v>
      </c>
      <c r="D1279" s="248" t="s">
        <v>117</v>
      </c>
      <c r="E1279" s="249">
        <v>1000</v>
      </c>
      <c r="F1279" s="325">
        <f t="shared" si="6"/>
        <v>1.8718245666117783</v>
      </c>
      <c r="G1279" s="447">
        <v>534.23810000000003</v>
      </c>
      <c r="H1279" s="248" t="s">
        <v>437</v>
      </c>
      <c r="I1279" s="184" t="s">
        <v>2217</v>
      </c>
      <c r="J1279" s="129" t="s">
        <v>98</v>
      </c>
      <c r="K1279" s="129" t="s">
        <v>1132</v>
      </c>
      <c r="L1279" s="147" t="s">
        <v>155</v>
      </c>
      <c r="M1279" s="129"/>
      <c r="N1279" s="129"/>
      <c r="O1279" s="129"/>
    </row>
    <row r="1280" spans="1:15" ht="15.6" hidden="1">
      <c r="A1280" s="437">
        <v>45860</v>
      </c>
      <c r="B1280" s="184" t="s">
        <v>1396</v>
      </c>
      <c r="C1280" s="248" t="s">
        <v>196</v>
      </c>
      <c r="D1280" s="248" t="s">
        <v>117</v>
      </c>
      <c r="E1280" s="249">
        <v>7000</v>
      </c>
      <c r="F1280" s="325">
        <f t="shared" si="6"/>
        <v>13.102771966282448</v>
      </c>
      <c r="G1280" s="447">
        <v>534.23810000000003</v>
      </c>
      <c r="H1280" s="248" t="s">
        <v>437</v>
      </c>
      <c r="I1280" s="184" t="s">
        <v>2218</v>
      </c>
      <c r="J1280" s="129" t="s">
        <v>98</v>
      </c>
      <c r="K1280" s="129" t="s">
        <v>1132</v>
      </c>
      <c r="L1280" s="147" t="s">
        <v>155</v>
      </c>
      <c r="M1280" s="129"/>
      <c r="N1280" s="129"/>
      <c r="O1280" s="129"/>
    </row>
    <row r="1281" spans="1:15" ht="15.6" hidden="1">
      <c r="A1281" s="437">
        <v>45860</v>
      </c>
      <c r="B1281" s="184" t="s">
        <v>2205</v>
      </c>
      <c r="C1281" s="248" t="s">
        <v>196</v>
      </c>
      <c r="D1281" s="248" t="s">
        <v>117</v>
      </c>
      <c r="E1281" s="249">
        <v>1000</v>
      </c>
      <c r="F1281" s="325">
        <f t="shared" si="6"/>
        <v>1.8718245666117783</v>
      </c>
      <c r="G1281" s="447">
        <v>534.23810000000003</v>
      </c>
      <c r="H1281" s="248" t="s">
        <v>437</v>
      </c>
      <c r="I1281" s="184" t="s">
        <v>2217</v>
      </c>
      <c r="J1281" s="129" t="s">
        <v>98</v>
      </c>
      <c r="K1281" s="129" t="s">
        <v>1132</v>
      </c>
      <c r="L1281" s="147" t="s">
        <v>155</v>
      </c>
      <c r="M1281" s="129"/>
      <c r="N1281" s="129"/>
      <c r="O1281" s="129"/>
    </row>
    <row r="1282" spans="1:15" ht="15.6" hidden="1">
      <c r="A1282" s="437">
        <v>45860</v>
      </c>
      <c r="B1282" s="438" t="s">
        <v>2222</v>
      </c>
      <c r="C1282" s="184" t="s">
        <v>174</v>
      </c>
      <c r="D1282" s="448" t="s">
        <v>120</v>
      </c>
      <c r="E1282" s="446">
        <v>1000</v>
      </c>
      <c r="F1282" s="325">
        <f t="shared" si="6"/>
        <v>1.8718245666117783</v>
      </c>
      <c r="G1282" s="447">
        <v>534.23810000000003</v>
      </c>
      <c r="H1282" s="438" t="s">
        <v>213</v>
      </c>
      <c r="I1282" s="129" t="s">
        <v>2233</v>
      </c>
      <c r="J1282" s="129" t="s">
        <v>98</v>
      </c>
      <c r="K1282" s="129" t="s">
        <v>1132</v>
      </c>
      <c r="L1282" s="147" t="s">
        <v>155</v>
      </c>
      <c r="M1282" s="129"/>
      <c r="N1282" s="129"/>
      <c r="O1282" s="129"/>
    </row>
    <row r="1283" spans="1:15" ht="15.6" hidden="1">
      <c r="A1283" s="437">
        <v>45860</v>
      </c>
      <c r="B1283" s="367" t="s">
        <v>2286</v>
      </c>
      <c r="C1283" s="182" t="s">
        <v>125</v>
      </c>
      <c r="D1283" s="182"/>
      <c r="E1283" s="435"/>
      <c r="F1283" s="325"/>
      <c r="G1283" s="449">
        <f>+M1283/N1283</f>
        <v>537.75419999999997</v>
      </c>
      <c r="H1283" s="438" t="s">
        <v>148</v>
      </c>
      <c r="I1283" s="129" t="s">
        <v>2310</v>
      </c>
      <c r="J1283" s="129" t="s">
        <v>98</v>
      </c>
      <c r="K1283" s="129" t="s">
        <v>2312</v>
      </c>
      <c r="L1283" s="147" t="s">
        <v>155</v>
      </c>
      <c r="M1283" s="343">
        <v>5377542</v>
      </c>
      <c r="N1283" s="129">
        <v>10000</v>
      </c>
      <c r="O1283" s="129"/>
    </row>
    <row r="1284" spans="1:15" ht="15.6" hidden="1">
      <c r="A1284" s="437">
        <v>45861</v>
      </c>
      <c r="B1284" s="307" t="s">
        <v>2099</v>
      </c>
      <c r="C1284" s="308" t="s">
        <v>174</v>
      </c>
      <c r="D1284" s="309" t="s">
        <v>119</v>
      </c>
      <c r="E1284" s="307">
        <v>1000</v>
      </c>
      <c r="F1284" s="325">
        <f t="shared" ref="F1284:F1315" si="7">E1284/G1284</f>
        <v>1.8595856619994786</v>
      </c>
      <c r="G1284" s="447">
        <v>537.75419999999997</v>
      </c>
      <c r="H1284" s="311" t="s">
        <v>153</v>
      </c>
      <c r="I1284" s="312" t="s">
        <v>2115</v>
      </c>
      <c r="J1284" s="129" t="s">
        <v>98</v>
      </c>
      <c r="K1284" s="129" t="s">
        <v>2312</v>
      </c>
      <c r="L1284" s="147" t="s">
        <v>155</v>
      </c>
      <c r="M1284" s="129"/>
      <c r="N1284" s="129"/>
      <c r="O1284" s="129"/>
    </row>
    <row r="1285" spans="1:15" ht="15.6" hidden="1">
      <c r="A1285" s="437">
        <v>45861</v>
      </c>
      <c r="B1285" s="307" t="s">
        <v>2100</v>
      </c>
      <c r="C1285" s="308" t="s">
        <v>174</v>
      </c>
      <c r="D1285" s="309" t="s">
        <v>119</v>
      </c>
      <c r="E1285" s="307">
        <v>1000</v>
      </c>
      <c r="F1285" s="325">
        <f t="shared" si="7"/>
        <v>1.8595856619994786</v>
      </c>
      <c r="G1285" s="447">
        <v>537.75419999999997</v>
      </c>
      <c r="H1285" s="311" t="s">
        <v>153</v>
      </c>
      <c r="I1285" s="312" t="s">
        <v>2115</v>
      </c>
      <c r="J1285" s="129" t="s">
        <v>98</v>
      </c>
      <c r="K1285" s="129" t="s">
        <v>2312</v>
      </c>
      <c r="L1285" s="147" t="s">
        <v>155</v>
      </c>
      <c r="M1285" s="129"/>
      <c r="N1285" s="129"/>
      <c r="O1285" s="129"/>
    </row>
    <row r="1286" spans="1:15" ht="15.6" hidden="1">
      <c r="A1286" s="437">
        <v>45861</v>
      </c>
      <c r="B1286" s="184" t="s">
        <v>2206</v>
      </c>
      <c r="C1286" s="248" t="s">
        <v>196</v>
      </c>
      <c r="D1286" s="248" t="s">
        <v>117</v>
      </c>
      <c r="E1286" s="249">
        <v>1000</v>
      </c>
      <c r="F1286" s="325">
        <f t="shared" si="7"/>
        <v>1.8595856619994786</v>
      </c>
      <c r="G1286" s="447">
        <v>537.75419999999997</v>
      </c>
      <c r="H1286" s="248" t="s">
        <v>437</v>
      </c>
      <c r="I1286" s="184" t="s">
        <v>2217</v>
      </c>
      <c r="J1286" s="129" t="s">
        <v>98</v>
      </c>
      <c r="K1286" s="129" t="s">
        <v>2312</v>
      </c>
      <c r="L1286" s="147" t="s">
        <v>155</v>
      </c>
      <c r="M1286" s="129"/>
      <c r="N1286" s="129"/>
      <c r="O1286" s="129"/>
    </row>
    <row r="1287" spans="1:15" ht="15.6" hidden="1">
      <c r="A1287" s="437">
        <v>45861</v>
      </c>
      <c r="B1287" s="184" t="s">
        <v>2207</v>
      </c>
      <c r="C1287" s="248" t="s">
        <v>196</v>
      </c>
      <c r="D1287" s="248" t="s">
        <v>117</v>
      </c>
      <c r="E1287" s="249">
        <v>500</v>
      </c>
      <c r="F1287" s="325">
        <f t="shared" si="7"/>
        <v>0.92979283099973931</v>
      </c>
      <c r="G1287" s="447">
        <v>537.75419999999997</v>
      </c>
      <c r="H1287" s="248" t="s">
        <v>437</v>
      </c>
      <c r="I1287" s="184" t="s">
        <v>2217</v>
      </c>
      <c r="J1287" s="129" t="s">
        <v>98</v>
      </c>
      <c r="K1287" s="129" t="s">
        <v>2312</v>
      </c>
      <c r="L1287" s="147" t="s">
        <v>155</v>
      </c>
      <c r="M1287" s="129"/>
      <c r="N1287" s="129"/>
      <c r="O1287" s="129"/>
    </row>
    <row r="1288" spans="1:15" ht="15.6" hidden="1">
      <c r="A1288" s="437">
        <v>45861</v>
      </c>
      <c r="B1288" s="252" t="s">
        <v>2208</v>
      </c>
      <c r="C1288" s="252" t="s">
        <v>177</v>
      </c>
      <c r="D1288" s="252" t="s">
        <v>117</v>
      </c>
      <c r="E1288" s="249">
        <v>20000</v>
      </c>
      <c r="F1288" s="325">
        <f t="shared" si="7"/>
        <v>37.191713239989575</v>
      </c>
      <c r="G1288" s="447">
        <v>537.75419999999997</v>
      </c>
      <c r="H1288" s="248" t="s">
        <v>437</v>
      </c>
      <c r="I1288" s="184" t="s">
        <v>2219</v>
      </c>
      <c r="J1288" s="129" t="s">
        <v>98</v>
      </c>
      <c r="K1288" s="129" t="s">
        <v>2312</v>
      </c>
      <c r="L1288" s="147" t="s">
        <v>155</v>
      </c>
      <c r="M1288" s="129"/>
      <c r="N1288" s="129"/>
      <c r="O1288" s="129"/>
    </row>
    <row r="1289" spans="1:15" ht="15.6" hidden="1">
      <c r="A1289" s="437">
        <v>45862</v>
      </c>
      <c r="B1289" s="307" t="s">
        <v>2099</v>
      </c>
      <c r="C1289" s="308" t="s">
        <v>174</v>
      </c>
      <c r="D1289" s="309" t="s">
        <v>119</v>
      </c>
      <c r="E1289" s="307">
        <v>1000</v>
      </c>
      <c r="F1289" s="325">
        <f t="shared" si="7"/>
        <v>1.8595856619994786</v>
      </c>
      <c r="G1289" s="447">
        <v>537.75419999999997</v>
      </c>
      <c r="H1289" s="311" t="s">
        <v>153</v>
      </c>
      <c r="I1289" s="312" t="s">
        <v>2115</v>
      </c>
      <c r="J1289" s="129" t="s">
        <v>98</v>
      </c>
      <c r="K1289" s="129" t="s">
        <v>2312</v>
      </c>
      <c r="L1289" s="147" t="s">
        <v>155</v>
      </c>
      <c r="M1289" s="129"/>
      <c r="N1289" s="129"/>
      <c r="O1289" s="129"/>
    </row>
    <row r="1290" spans="1:15" ht="15.6" hidden="1">
      <c r="A1290" s="437">
        <v>45862</v>
      </c>
      <c r="B1290" s="307" t="s">
        <v>2100</v>
      </c>
      <c r="C1290" s="308" t="s">
        <v>174</v>
      </c>
      <c r="D1290" s="309" t="s">
        <v>119</v>
      </c>
      <c r="E1290" s="307">
        <v>1000</v>
      </c>
      <c r="F1290" s="325">
        <f t="shared" si="7"/>
        <v>1.8595856619994786</v>
      </c>
      <c r="G1290" s="447">
        <v>537.75419999999997</v>
      </c>
      <c r="H1290" s="311" t="s">
        <v>153</v>
      </c>
      <c r="I1290" s="312" t="s">
        <v>2115</v>
      </c>
      <c r="J1290" s="129" t="s">
        <v>98</v>
      </c>
      <c r="K1290" s="129" t="s">
        <v>2312</v>
      </c>
      <c r="L1290" s="147" t="s">
        <v>155</v>
      </c>
      <c r="M1290" s="129"/>
      <c r="N1290" s="129"/>
      <c r="O1290" s="129"/>
    </row>
    <row r="1291" spans="1:15" ht="15.6" hidden="1">
      <c r="A1291" s="437">
        <v>45862</v>
      </c>
      <c r="B1291" s="440" t="s">
        <v>2120</v>
      </c>
      <c r="C1291" s="441" t="s">
        <v>174</v>
      </c>
      <c r="D1291" s="440" t="s">
        <v>117</v>
      </c>
      <c r="E1291" s="441">
        <v>1000</v>
      </c>
      <c r="F1291" s="325">
        <f t="shared" si="7"/>
        <v>1.8595856619994786</v>
      </c>
      <c r="G1291" s="447">
        <v>537.75419999999997</v>
      </c>
      <c r="H1291" s="442" t="s">
        <v>200</v>
      </c>
      <c r="I1291" s="316" t="s">
        <v>2126</v>
      </c>
      <c r="J1291" s="129" t="s">
        <v>98</v>
      </c>
      <c r="K1291" s="129" t="s">
        <v>2312</v>
      </c>
      <c r="L1291" s="147" t="s">
        <v>155</v>
      </c>
      <c r="M1291" s="129"/>
      <c r="N1291" s="129"/>
      <c r="O1291" s="129"/>
    </row>
    <row r="1292" spans="1:15" ht="15.6" hidden="1">
      <c r="A1292" s="437">
        <v>45862</v>
      </c>
      <c r="B1292" s="440" t="s">
        <v>2121</v>
      </c>
      <c r="C1292" s="441" t="s">
        <v>174</v>
      </c>
      <c r="D1292" s="440" t="s">
        <v>117</v>
      </c>
      <c r="E1292" s="441">
        <v>1000</v>
      </c>
      <c r="F1292" s="325">
        <f t="shared" si="7"/>
        <v>1.8595856619994786</v>
      </c>
      <c r="G1292" s="447">
        <v>537.75419999999997</v>
      </c>
      <c r="H1292" s="442" t="s">
        <v>200</v>
      </c>
      <c r="I1292" s="316" t="s">
        <v>2126</v>
      </c>
      <c r="J1292" s="129" t="s">
        <v>98</v>
      </c>
      <c r="K1292" s="129" t="s">
        <v>2312</v>
      </c>
      <c r="L1292" s="147" t="s">
        <v>155</v>
      </c>
      <c r="M1292" s="129"/>
      <c r="N1292" s="129"/>
      <c r="O1292" s="129"/>
    </row>
    <row r="1293" spans="1:15" ht="15.6" hidden="1">
      <c r="A1293" s="437">
        <v>45862</v>
      </c>
      <c r="B1293" s="440" t="s">
        <v>2122</v>
      </c>
      <c r="C1293" s="441" t="s">
        <v>174</v>
      </c>
      <c r="D1293" s="440" t="s">
        <v>117</v>
      </c>
      <c r="E1293" s="441">
        <v>1000</v>
      </c>
      <c r="F1293" s="325">
        <f t="shared" si="7"/>
        <v>1.8595856619994786</v>
      </c>
      <c r="G1293" s="447">
        <v>537.75419999999997</v>
      </c>
      <c r="H1293" s="442" t="s">
        <v>200</v>
      </c>
      <c r="I1293" s="316" t="s">
        <v>2126</v>
      </c>
      <c r="J1293" s="129" t="s">
        <v>98</v>
      </c>
      <c r="K1293" s="129" t="s">
        <v>2312</v>
      </c>
      <c r="L1293" s="147" t="s">
        <v>155</v>
      </c>
      <c r="M1293" s="129"/>
      <c r="N1293" s="129"/>
      <c r="O1293" s="129"/>
    </row>
    <row r="1294" spans="1:15" ht="15.6" hidden="1">
      <c r="A1294" s="437">
        <v>45862</v>
      </c>
      <c r="B1294" s="440" t="s">
        <v>2123</v>
      </c>
      <c r="C1294" s="441" t="s">
        <v>174</v>
      </c>
      <c r="D1294" s="440" t="s">
        <v>117</v>
      </c>
      <c r="E1294" s="441">
        <v>1000</v>
      </c>
      <c r="F1294" s="325">
        <f t="shared" si="7"/>
        <v>1.8595856619994786</v>
      </c>
      <c r="G1294" s="447">
        <v>537.75419999999997</v>
      </c>
      <c r="H1294" s="442" t="s">
        <v>200</v>
      </c>
      <c r="I1294" s="316" t="s">
        <v>2126</v>
      </c>
      <c r="J1294" s="129" t="s">
        <v>98</v>
      </c>
      <c r="K1294" s="129" t="s">
        <v>2312</v>
      </c>
      <c r="L1294" s="147" t="s">
        <v>155</v>
      </c>
      <c r="M1294" s="129"/>
      <c r="N1294" s="129"/>
      <c r="O1294" s="129"/>
    </row>
    <row r="1295" spans="1:15" ht="15.6" hidden="1">
      <c r="A1295" s="437">
        <v>45862</v>
      </c>
      <c r="B1295" s="438" t="s">
        <v>2145</v>
      </c>
      <c r="C1295" s="438" t="s">
        <v>174</v>
      </c>
      <c r="D1295" s="438" t="s">
        <v>118</v>
      </c>
      <c r="E1295" s="342">
        <v>1000</v>
      </c>
      <c r="F1295" s="325">
        <f t="shared" si="7"/>
        <v>1.8595856619994786</v>
      </c>
      <c r="G1295" s="447">
        <v>537.75419999999997</v>
      </c>
      <c r="H1295" s="438" t="s">
        <v>583</v>
      </c>
      <c r="I1295" s="129" t="s">
        <v>2164</v>
      </c>
      <c r="J1295" s="129" t="s">
        <v>98</v>
      </c>
      <c r="K1295" s="129" t="s">
        <v>2312</v>
      </c>
      <c r="L1295" s="147" t="s">
        <v>155</v>
      </c>
      <c r="M1295" s="147"/>
      <c r="N1295" s="129"/>
      <c r="O1295" s="129"/>
    </row>
    <row r="1296" spans="1:15" ht="15.6" hidden="1">
      <c r="A1296" s="437">
        <v>45862</v>
      </c>
      <c r="B1296" s="438" t="s">
        <v>2146</v>
      </c>
      <c r="C1296" s="438" t="s">
        <v>174</v>
      </c>
      <c r="D1296" s="438" t="s">
        <v>118</v>
      </c>
      <c r="E1296" s="342">
        <v>1000</v>
      </c>
      <c r="F1296" s="325">
        <f t="shared" si="7"/>
        <v>1.8595856619994786</v>
      </c>
      <c r="G1296" s="447">
        <v>537.75419999999997</v>
      </c>
      <c r="H1296" s="438" t="s">
        <v>583</v>
      </c>
      <c r="I1296" s="129" t="s">
        <v>2164</v>
      </c>
      <c r="J1296" s="129" t="s">
        <v>98</v>
      </c>
      <c r="K1296" s="129" t="s">
        <v>2312</v>
      </c>
      <c r="L1296" s="147" t="s">
        <v>155</v>
      </c>
      <c r="M1296" s="129"/>
      <c r="N1296" s="129"/>
      <c r="O1296" s="129"/>
    </row>
    <row r="1297" spans="1:15" ht="15.6" hidden="1">
      <c r="A1297" s="437">
        <v>45862</v>
      </c>
      <c r="B1297" s="438" t="s">
        <v>2147</v>
      </c>
      <c r="C1297" s="438" t="s">
        <v>174</v>
      </c>
      <c r="D1297" s="438" t="s">
        <v>118</v>
      </c>
      <c r="E1297" s="342">
        <v>1000</v>
      </c>
      <c r="F1297" s="325">
        <f t="shared" si="7"/>
        <v>1.8595856619994786</v>
      </c>
      <c r="G1297" s="447">
        <v>537.75419999999997</v>
      </c>
      <c r="H1297" s="438" t="s">
        <v>583</v>
      </c>
      <c r="I1297" s="129" t="s">
        <v>2164</v>
      </c>
      <c r="J1297" s="129" t="s">
        <v>98</v>
      </c>
      <c r="K1297" s="129" t="s">
        <v>2312</v>
      </c>
      <c r="L1297" s="147" t="s">
        <v>155</v>
      </c>
      <c r="M1297" s="129"/>
      <c r="N1297" s="129"/>
      <c r="O1297" s="129"/>
    </row>
    <row r="1298" spans="1:15" ht="15.6" hidden="1">
      <c r="A1298" s="437">
        <v>45862</v>
      </c>
      <c r="B1298" s="438" t="s">
        <v>2327</v>
      </c>
      <c r="C1298" s="438" t="s">
        <v>182</v>
      </c>
      <c r="D1298" s="438" t="s">
        <v>118</v>
      </c>
      <c r="E1298" s="342">
        <v>700</v>
      </c>
      <c r="F1298" s="325">
        <f t="shared" si="7"/>
        <v>1.3017099633996352</v>
      </c>
      <c r="G1298" s="447">
        <v>537.75419999999997</v>
      </c>
      <c r="H1298" s="438" t="s">
        <v>583</v>
      </c>
      <c r="I1298" s="129" t="s">
        <v>2168</v>
      </c>
      <c r="J1298" s="129" t="s">
        <v>98</v>
      </c>
      <c r="K1298" s="129" t="s">
        <v>2312</v>
      </c>
      <c r="L1298" s="147" t="s">
        <v>155</v>
      </c>
      <c r="M1298" s="129"/>
      <c r="N1298" s="129"/>
      <c r="O1298" s="129"/>
    </row>
    <row r="1299" spans="1:15" ht="15.6" hidden="1">
      <c r="A1299" s="437">
        <v>45862</v>
      </c>
      <c r="B1299" s="184" t="s">
        <v>2209</v>
      </c>
      <c r="C1299" s="248" t="s">
        <v>196</v>
      </c>
      <c r="D1299" s="248" t="s">
        <v>117</v>
      </c>
      <c r="E1299" s="249">
        <v>500</v>
      </c>
      <c r="F1299" s="325">
        <f t="shared" si="7"/>
        <v>0.92979283099973931</v>
      </c>
      <c r="G1299" s="447">
        <v>537.75419999999997</v>
      </c>
      <c r="H1299" s="248" t="s">
        <v>437</v>
      </c>
      <c r="I1299" s="184" t="s">
        <v>2217</v>
      </c>
      <c r="J1299" s="129" t="s">
        <v>98</v>
      </c>
      <c r="K1299" s="129" t="s">
        <v>2312</v>
      </c>
      <c r="L1299" s="147" t="s">
        <v>155</v>
      </c>
      <c r="M1299" s="129"/>
      <c r="N1299" s="129"/>
      <c r="O1299" s="129"/>
    </row>
    <row r="1300" spans="1:15" ht="15.6" hidden="1">
      <c r="A1300" s="437">
        <v>45862</v>
      </c>
      <c r="B1300" s="184" t="s">
        <v>2210</v>
      </c>
      <c r="C1300" s="248" t="s">
        <v>196</v>
      </c>
      <c r="D1300" s="248" t="s">
        <v>117</v>
      </c>
      <c r="E1300" s="249">
        <v>500</v>
      </c>
      <c r="F1300" s="325">
        <f t="shared" si="7"/>
        <v>0.92979283099973931</v>
      </c>
      <c r="G1300" s="447">
        <v>537.75419999999997</v>
      </c>
      <c r="H1300" s="248" t="s">
        <v>437</v>
      </c>
      <c r="I1300" s="184" t="s">
        <v>2217</v>
      </c>
      <c r="J1300" s="129" t="s">
        <v>98</v>
      </c>
      <c r="K1300" s="129" t="s">
        <v>2312</v>
      </c>
      <c r="L1300" s="147" t="s">
        <v>155</v>
      </c>
      <c r="M1300" s="129"/>
      <c r="N1300" s="129"/>
      <c r="O1300" s="129"/>
    </row>
    <row r="1301" spans="1:15" ht="15.6" hidden="1">
      <c r="A1301" s="437">
        <v>45862</v>
      </c>
      <c r="B1301" s="184" t="s">
        <v>2211</v>
      </c>
      <c r="C1301" s="248" t="s">
        <v>196</v>
      </c>
      <c r="D1301" s="248" t="s">
        <v>117</v>
      </c>
      <c r="E1301" s="249">
        <v>500</v>
      </c>
      <c r="F1301" s="325">
        <f t="shared" si="7"/>
        <v>0.92979283099973931</v>
      </c>
      <c r="G1301" s="447">
        <v>537.75419999999997</v>
      </c>
      <c r="H1301" s="248" t="s">
        <v>437</v>
      </c>
      <c r="I1301" s="184" t="s">
        <v>2217</v>
      </c>
      <c r="J1301" s="129" t="s">
        <v>98</v>
      </c>
      <c r="K1301" s="129" t="s">
        <v>2312</v>
      </c>
      <c r="L1301" s="147" t="s">
        <v>155</v>
      </c>
      <c r="M1301" s="129"/>
      <c r="N1301" s="129"/>
      <c r="O1301" s="129"/>
    </row>
    <row r="1302" spans="1:15" ht="15.6" hidden="1">
      <c r="A1302" s="437">
        <v>45862</v>
      </c>
      <c r="B1302" s="184" t="s">
        <v>477</v>
      </c>
      <c r="C1302" s="248" t="s">
        <v>196</v>
      </c>
      <c r="D1302" s="248" t="s">
        <v>117</v>
      </c>
      <c r="E1302" s="249">
        <v>7000</v>
      </c>
      <c r="F1302" s="325">
        <f t="shared" si="7"/>
        <v>13.017099633996351</v>
      </c>
      <c r="G1302" s="447">
        <v>537.75419999999997</v>
      </c>
      <c r="H1302" s="248" t="s">
        <v>437</v>
      </c>
      <c r="I1302" s="184" t="s">
        <v>2220</v>
      </c>
      <c r="J1302" s="129" t="s">
        <v>98</v>
      </c>
      <c r="K1302" s="129" t="s">
        <v>2312</v>
      </c>
      <c r="L1302" s="147" t="s">
        <v>155</v>
      </c>
      <c r="M1302" s="129"/>
      <c r="N1302" s="129"/>
      <c r="O1302" s="129"/>
    </row>
    <row r="1303" spans="1:15" ht="15.6" hidden="1">
      <c r="A1303" s="437">
        <v>45863</v>
      </c>
      <c r="B1303" s="307" t="s">
        <v>2099</v>
      </c>
      <c r="C1303" s="308" t="s">
        <v>174</v>
      </c>
      <c r="D1303" s="309" t="s">
        <v>119</v>
      </c>
      <c r="E1303" s="307">
        <v>1000</v>
      </c>
      <c r="F1303" s="325">
        <f t="shared" si="7"/>
        <v>1.8595856619994786</v>
      </c>
      <c r="G1303" s="447">
        <v>537.75419999999997</v>
      </c>
      <c r="H1303" s="311" t="s">
        <v>153</v>
      </c>
      <c r="I1303" s="312" t="s">
        <v>2115</v>
      </c>
      <c r="J1303" s="129" t="s">
        <v>98</v>
      </c>
      <c r="K1303" s="129" t="s">
        <v>2312</v>
      </c>
      <c r="L1303" s="147" t="s">
        <v>155</v>
      </c>
      <c r="M1303" s="129"/>
      <c r="N1303" s="129"/>
      <c r="O1303" s="129"/>
    </row>
    <row r="1304" spans="1:15" ht="15.6" hidden="1">
      <c r="A1304" s="437">
        <v>45863</v>
      </c>
      <c r="B1304" s="307" t="s">
        <v>2100</v>
      </c>
      <c r="C1304" s="308" t="s">
        <v>174</v>
      </c>
      <c r="D1304" s="309" t="s">
        <v>119</v>
      </c>
      <c r="E1304" s="307">
        <v>1000</v>
      </c>
      <c r="F1304" s="325">
        <f t="shared" si="7"/>
        <v>1.8595856619994786</v>
      </c>
      <c r="G1304" s="447">
        <v>537.75419999999997</v>
      </c>
      <c r="H1304" s="311" t="s">
        <v>153</v>
      </c>
      <c r="I1304" s="312" t="s">
        <v>2115</v>
      </c>
      <c r="J1304" s="129" t="s">
        <v>98</v>
      </c>
      <c r="K1304" s="129" t="s">
        <v>2312</v>
      </c>
      <c r="L1304" s="147" t="s">
        <v>155</v>
      </c>
      <c r="M1304" s="129"/>
      <c r="N1304" s="129"/>
      <c r="O1304" s="129"/>
    </row>
    <row r="1305" spans="1:15" ht="15.6" hidden="1">
      <c r="A1305" s="437">
        <v>45863</v>
      </c>
      <c r="B1305" s="440" t="s">
        <v>2124</v>
      </c>
      <c r="C1305" s="441" t="s">
        <v>174</v>
      </c>
      <c r="D1305" s="440" t="s">
        <v>117</v>
      </c>
      <c r="E1305" s="441">
        <v>1000</v>
      </c>
      <c r="F1305" s="325">
        <f t="shared" si="7"/>
        <v>1.8595856619994786</v>
      </c>
      <c r="G1305" s="447">
        <v>537.75419999999997</v>
      </c>
      <c r="H1305" s="442" t="s">
        <v>200</v>
      </c>
      <c r="I1305" s="316" t="s">
        <v>2126</v>
      </c>
      <c r="J1305" s="129" t="s">
        <v>98</v>
      </c>
      <c r="K1305" s="129" t="s">
        <v>2312</v>
      </c>
      <c r="L1305" s="147" t="s">
        <v>155</v>
      </c>
      <c r="M1305" s="129"/>
      <c r="N1305" s="129"/>
      <c r="O1305" s="129"/>
    </row>
    <row r="1306" spans="1:15" ht="15.6" hidden="1">
      <c r="A1306" s="437">
        <v>45863</v>
      </c>
      <c r="B1306" s="440" t="s">
        <v>2125</v>
      </c>
      <c r="C1306" s="441" t="s">
        <v>174</v>
      </c>
      <c r="D1306" s="440" t="s">
        <v>117</v>
      </c>
      <c r="E1306" s="441">
        <v>1000</v>
      </c>
      <c r="F1306" s="325">
        <f t="shared" si="7"/>
        <v>1.8595856619994786</v>
      </c>
      <c r="G1306" s="447">
        <v>537.75419999999997</v>
      </c>
      <c r="H1306" s="442" t="s">
        <v>200</v>
      </c>
      <c r="I1306" s="316" t="s">
        <v>2126</v>
      </c>
      <c r="J1306" s="129" t="s">
        <v>98</v>
      </c>
      <c r="K1306" s="129" t="s">
        <v>2312</v>
      </c>
      <c r="L1306" s="147" t="s">
        <v>155</v>
      </c>
      <c r="M1306" s="129"/>
      <c r="N1306" s="129"/>
      <c r="O1306" s="129"/>
    </row>
    <row r="1307" spans="1:15" ht="15.6" hidden="1">
      <c r="A1307" s="437">
        <v>45863</v>
      </c>
      <c r="B1307" s="438" t="s">
        <v>2148</v>
      </c>
      <c r="C1307" s="438" t="s">
        <v>174</v>
      </c>
      <c r="D1307" s="438" t="s">
        <v>118</v>
      </c>
      <c r="E1307" s="342">
        <v>1000</v>
      </c>
      <c r="F1307" s="325">
        <f t="shared" si="7"/>
        <v>1.8595856619994786</v>
      </c>
      <c r="G1307" s="447">
        <v>537.75419999999997</v>
      </c>
      <c r="H1307" s="438" t="s">
        <v>583</v>
      </c>
      <c r="I1307" s="129" t="s">
        <v>2164</v>
      </c>
      <c r="J1307" s="129" t="s">
        <v>98</v>
      </c>
      <c r="K1307" s="129" t="s">
        <v>2312</v>
      </c>
      <c r="L1307" s="147" t="s">
        <v>155</v>
      </c>
      <c r="M1307" s="129"/>
      <c r="N1307" s="129"/>
      <c r="O1307" s="129"/>
    </row>
    <row r="1308" spans="1:15" ht="15.6" hidden="1">
      <c r="A1308" s="437">
        <v>45863</v>
      </c>
      <c r="B1308" s="438" t="s">
        <v>2149</v>
      </c>
      <c r="C1308" s="438" t="s">
        <v>174</v>
      </c>
      <c r="D1308" s="438" t="s">
        <v>118</v>
      </c>
      <c r="E1308" s="342">
        <v>1000</v>
      </c>
      <c r="F1308" s="325">
        <f t="shared" si="7"/>
        <v>1.8595856619994786</v>
      </c>
      <c r="G1308" s="447">
        <v>537.75419999999997</v>
      </c>
      <c r="H1308" s="438" t="s">
        <v>583</v>
      </c>
      <c r="I1308" s="129" t="s">
        <v>2164</v>
      </c>
      <c r="J1308" s="129" t="s">
        <v>98</v>
      </c>
      <c r="K1308" s="129" t="s">
        <v>2312</v>
      </c>
      <c r="L1308" s="147" t="s">
        <v>155</v>
      </c>
      <c r="M1308" s="129"/>
      <c r="N1308" s="129"/>
      <c r="O1308" s="129"/>
    </row>
    <row r="1309" spans="1:15" ht="15.6" hidden="1">
      <c r="A1309" s="437">
        <v>45863</v>
      </c>
      <c r="B1309" s="438" t="s">
        <v>2150</v>
      </c>
      <c r="C1309" s="438" t="s">
        <v>174</v>
      </c>
      <c r="D1309" s="438" t="s">
        <v>118</v>
      </c>
      <c r="E1309" s="342">
        <v>1000</v>
      </c>
      <c r="F1309" s="325">
        <f t="shared" si="7"/>
        <v>1.8595856619994786</v>
      </c>
      <c r="G1309" s="447">
        <v>537.75419999999997</v>
      </c>
      <c r="H1309" s="438" t="s">
        <v>583</v>
      </c>
      <c r="I1309" s="129" t="s">
        <v>2164</v>
      </c>
      <c r="J1309" s="129" t="s">
        <v>98</v>
      </c>
      <c r="K1309" s="129" t="s">
        <v>2312</v>
      </c>
      <c r="L1309" s="147" t="s">
        <v>155</v>
      </c>
      <c r="M1309" s="129"/>
      <c r="N1309" s="129"/>
      <c r="O1309" s="129"/>
    </row>
    <row r="1310" spans="1:15" ht="15.6" hidden="1">
      <c r="A1310" s="437">
        <v>45863</v>
      </c>
      <c r="B1310" s="438" t="s">
        <v>2151</v>
      </c>
      <c r="C1310" s="438" t="s">
        <v>174</v>
      </c>
      <c r="D1310" s="438" t="s">
        <v>118</v>
      </c>
      <c r="E1310" s="342">
        <v>1000</v>
      </c>
      <c r="F1310" s="325">
        <f t="shared" si="7"/>
        <v>1.8595856619994786</v>
      </c>
      <c r="G1310" s="447">
        <v>537.75419999999997</v>
      </c>
      <c r="H1310" s="438" t="s">
        <v>583</v>
      </c>
      <c r="I1310" s="129" t="s">
        <v>2164</v>
      </c>
      <c r="J1310" s="129" t="s">
        <v>98</v>
      </c>
      <c r="K1310" s="129" t="s">
        <v>2312</v>
      </c>
      <c r="L1310" s="147" t="s">
        <v>155</v>
      </c>
      <c r="M1310" s="129"/>
      <c r="N1310" s="129"/>
      <c r="O1310" s="129"/>
    </row>
    <row r="1311" spans="1:15" ht="15.6" hidden="1">
      <c r="A1311" s="437">
        <v>45863</v>
      </c>
      <c r="B1311" s="438" t="s">
        <v>2152</v>
      </c>
      <c r="C1311" s="438" t="s">
        <v>174</v>
      </c>
      <c r="D1311" s="438" t="s">
        <v>118</v>
      </c>
      <c r="E1311" s="342">
        <v>1000</v>
      </c>
      <c r="F1311" s="325">
        <f t="shared" si="7"/>
        <v>1.8595856619994786</v>
      </c>
      <c r="G1311" s="447">
        <v>537.75419999999997</v>
      </c>
      <c r="H1311" s="438" t="s">
        <v>583</v>
      </c>
      <c r="I1311" s="129" t="s">
        <v>2164</v>
      </c>
      <c r="J1311" s="129" t="s">
        <v>98</v>
      </c>
      <c r="K1311" s="129" t="s">
        <v>2312</v>
      </c>
      <c r="L1311" s="147" t="s">
        <v>155</v>
      </c>
      <c r="M1311" s="129"/>
      <c r="N1311" s="129"/>
      <c r="O1311" s="129"/>
    </row>
    <row r="1312" spans="1:15" ht="15.6" hidden="1">
      <c r="A1312" s="437">
        <v>45863</v>
      </c>
      <c r="B1312" s="438" t="s">
        <v>2153</v>
      </c>
      <c r="C1312" s="438" t="s">
        <v>174</v>
      </c>
      <c r="D1312" s="438" t="s">
        <v>118</v>
      </c>
      <c r="E1312" s="342">
        <v>1000</v>
      </c>
      <c r="F1312" s="325">
        <f t="shared" si="7"/>
        <v>1.8595856619994786</v>
      </c>
      <c r="G1312" s="447">
        <v>537.75419999999997</v>
      </c>
      <c r="H1312" s="438" t="s">
        <v>583</v>
      </c>
      <c r="I1312" s="129" t="s">
        <v>2164</v>
      </c>
      <c r="J1312" s="129" t="s">
        <v>98</v>
      </c>
      <c r="K1312" s="129" t="s">
        <v>2312</v>
      </c>
      <c r="L1312" s="147" t="s">
        <v>155</v>
      </c>
      <c r="M1312" s="129"/>
      <c r="N1312" s="129"/>
      <c r="O1312" s="129"/>
    </row>
    <row r="1313" spans="1:15" ht="15.6" hidden="1">
      <c r="A1313" s="437">
        <v>45863</v>
      </c>
      <c r="B1313" s="438" t="s">
        <v>2154</v>
      </c>
      <c r="C1313" s="438" t="s">
        <v>174</v>
      </c>
      <c r="D1313" s="438" t="s">
        <v>118</v>
      </c>
      <c r="E1313" s="342">
        <v>1000</v>
      </c>
      <c r="F1313" s="325">
        <f t="shared" si="7"/>
        <v>1.8595856619994786</v>
      </c>
      <c r="G1313" s="447">
        <v>537.75419999999997</v>
      </c>
      <c r="H1313" s="438" t="s">
        <v>583</v>
      </c>
      <c r="I1313" s="129" t="s">
        <v>2164</v>
      </c>
      <c r="J1313" s="129" t="s">
        <v>98</v>
      </c>
      <c r="K1313" s="129" t="s">
        <v>2312</v>
      </c>
      <c r="L1313" s="147" t="s">
        <v>155</v>
      </c>
      <c r="M1313" s="129"/>
      <c r="N1313" s="129"/>
      <c r="O1313" s="129"/>
    </row>
    <row r="1314" spans="1:15" ht="15.6" hidden="1">
      <c r="A1314" s="437">
        <v>45863</v>
      </c>
      <c r="B1314" s="438" t="s">
        <v>2328</v>
      </c>
      <c r="C1314" s="438" t="s">
        <v>126</v>
      </c>
      <c r="D1314" s="438" t="s">
        <v>118</v>
      </c>
      <c r="E1314" s="342">
        <v>71274</v>
      </c>
      <c r="F1314" s="325">
        <f t="shared" si="7"/>
        <v>132.54010847335084</v>
      </c>
      <c r="G1314" s="447">
        <v>537.75419999999997</v>
      </c>
      <c r="H1314" s="438" t="s">
        <v>583</v>
      </c>
      <c r="I1314" s="129" t="s">
        <v>2169</v>
      </c>
      <c r="J1314" s="129" t="s">
        <v>98</v>
      </c>
      <c r="K1314" s="129" t="s">
        <v>2312</v>
      </c>
      <c r="L1314" s="147" t="s">
        <v>155</v>
      </c>
      <c r="M1314" s="129"/>
      <c r="N1314" s="129"/>
      <c r="O1314" s="129"/>
    </row>
    <row r="1315" spans="1:15" ht="15.6" hidden="1">
      <c r="A1315" s="437">
        <v>45863</v>
      </c>
      <c r="B1315" s="252" t="s">
        <v>2212</v>
      </c>
      <c r="C1315" s="252" t="s">
        <v>177</v>
      </c>
      <c r="D1315" s="252" t="s">
        <v>117</v>
      </c>
      <c r="E1315" s="249">
        <v>30000</v>
      </c>
      <c r="F1315" s="325">
        <f t="shared" si="7"/>
        <v>55.787569859984359</v>
      </c>
      <c r="G1315" s="447">
        <v>537.75419999999997</v>
      </c>
      <c r="H1315" s="248" t="s">
        <v>437</v>
      </c>
      <c r="I1315" s="184" t="s">
        <v>2221</v>
      </c>
      <c r="J1315" s="129" t="s">
        <v>98</v>
      </c>
      <c r="K1315" s="129" t="s">
        <v>2312</v>
      </c>
      <c r="L1315" s="147" t="s">
        <v>155</v>
      </c>
      <c r="M1315" s="129"/>
      <c r="N1315" s="129"/>
      <c r="O1315" s="129"/>
    </row>
    <row r="1316" spans="1:15" ht="15.6" hidden="1">
      <c r="A1316" s="437">
        <v>45863</v>
      </c>
      <c r="B1316" s="184" t="s">
        <v>2213</v>
      </c>
      <c r="C1316" s="248" t="s">
        <v>196</v>
      </c>
      <c r="D1316" s="248" t="s">
        <v>117</v>
      </c>
      <c r="E1316" s="249">
        <v>500</v>
      </c>
      <c r="F1316" s="325">
        <f t="shared" ref="F1316:F1347" si="8">E1316/G1316</f>
        <v>0.92979283099973931</v>
      </c>
      <c r="G1316" s="447">
        <v>537.75419999999997</v>
      </c>
      <c r="H1316" s="248" t="s">
        <v>437</v>
      </c>
      <c r="I1316" s="184" t="s">
        <v>2217</v>
      </c>
      <c r="J1316" s="129" t="s">
        <v>98</v>
      </c>
      <c r="K1316" s="129" t="s">
        <v>2312</v>
      </c>
      <c r="L1316" s="147" t="s">
        <v>155</v>
      </c>
      <c r="M1316" s="129"/>
      <c r="N1316" s="129"/>
      <c r="O1316" s="129"/>
    </row>
    <row r="1317" spans="1:15" ht="15.6" hidden="1">
      <c r="A1317" s="437">
        <v>45863</v>
      </c>
      <c r="B1317" s="184" t="s">
        <v>2205</v>
      </c>
      <c r="C1317" s="248" t="s">
        <v>196</v>
      </c>
      <c r="D1317" s="248" t="s">
        <v>117</v>
      </c>
      <c r="E1317" s="249">
        <v>1000</v>
      </c>
      <c r="F1317" s="325">
        <f t="shared" si="8"/>
        <v>1.8595856619994786</v>
      </c>
      <c r="G1317" s="447">
        <v>537.75419999999997</v>
      </c>
      <c r="H1317" s="248" t="s">
        <v>437</v>
      </c>
      <c r="I1317" s="184" t="s">
        <v>2217</v>
      </c>
      <c r="J1317" s="129" t="s">
        <v>98</v>
      </c>
      <c r="K1317" s="129" t="s">
        <v>2312</v>
      </c>
      <c r="L1317" s="147" t="s">
        <v>155</v>
      </c>
      <c r="M1317" s="129"/>
      <c r="N1317" s="129"/>
      <c r="O1317" s="129"/>
    </row>
    <row r="1318" spans="1:15" ht="15.6" hidden="1">
      <c r="A1318" s="437">
        <v>45863</v>
      </c>
      <c r="B1318" s="367" t="s">
        <v>2287</v>
      </c>
      <c r="C1318" s="182" t="s">
        <v>127</v>
      </c>
      <c r="D1318" s="182" t="s">
        <v>118</v>
      </c>
      <c r="E1318" s="435">
        <v>230000</v>
      </c>
      <c r="F1318" s="325">
        <f t="shared" si="8"/>
        <v>427.70470225988009</v>
      </c>
      <c r="G1318" s="447">
        <v>537.75419999999997</v>
      </c>
      <c r="H1318" s="438" t="s">
        <v>148</v>
      </c>
      <c r="I1318" s="129" t="s">
        <v>2288</v>
      </c>
      <c r="J1318" s="129" t="s">
        <v>98</v>
      </c>
      <c r="K1318" s="129" t="s">
        <v>2312</v>
      </c>
      <c r="L1318" s="147" t="s">
        <v>155</v>
      </c>
      <c r="M1318" s="129"/>
      <c r="N1318" s="129"/>
      <c r="O1318" s="129"/>
    </row>
    <row r="1319" spans="1:15" ht="15.6" hidden="1">
      <c r="A1319" s="437">
        <v>45863</v>
      </c>
      <c r="B1319" s="367" t="s">
        <v>2289</v>
      </c>
      <c r="C1319" s="182" t="s">
        <v>127</v>
      </c>
      <c r="D1319" s="445" t="s">
        <v>117</v>
      </c>
      <c r="E1319" s="435">
        <v>200000</v>
      </c>
      <c r="F1319" s="325">
        <f t="shared" si="8"/>
        <v>371.91713239989576</v>
      </c>
      <c r="G1319" s="447">
        <v>537.75419999999997</v>
      </c>
      <c r="H1319" s="438" t="s">
        <v>148</v>
      </c>
      <c r="I1319" s="129" t="s">
        <v>2290</v>
      </c>
      <c r="J1319" s="129" t="s">
        <v>98</v>
      </c>
      <c r="K1319" s="129" t="s">
        <v>2312</v>
      </c>
      <c r="L1319" s="147" t="s">
        <v>155</v>
      </c>
      <c r="M1319" s="129"/>
      <c r="N1319" s="129"/>
      <c r="O1319" s="129"/>
    </row>
    <row r="1320" spans="1:15" ht="15.6" hidden="1">
      <c r="A1320" s="437">
        <v>45863</v>
      </c>
      <c r="B1320" s="367" t="s">
        <v>2291</v>
      </c>
      <c r="C1320" s="439" t="s">
        <v>127</v>
      </c>
      <c r="D1320" s="444" t="s">
        <v>117</v>
      </c>
      <c r="E1320" s="435">
        <v>200000</v>
      </c>
      <c r="F1320" s="325">
        <f t="shared" si="8"/>
        <v>371.91713239989576</v>
      </c>
      <c r="G1320" s="447">
        <v>537.75419999999997</v>
      </c>
      <c r="H1320" s="438" t="s">
        <v>148</v>
      </c>
      <c r="I1320" s="129" t="s">
        <v>2292</v>
      </c>
      <c r="J1320" s="129" t="s">
        <v>98</v>
      </c>
      <c r="K1320" s="129" t="s">
        <v>2312</v>
      </c>
      <c r="L1320" s="147" t="s">
        <v>155</v>
      </c>
      <c r="M1320" s="129"/>
      <c r="N1320" s="129"/>
      <c r="O1320" s="129"/>
    </row>
    <row r="1321" spans="1:15" ht="15.6" hidden="1">
      <c r="A1321" s="437">
        <v>45863</v>
      </c>
      <c r="B1321" s="367" t="s">
        <v>2293</v>
      </c>
      <c r="C1321" s="439" t="s">
        <v>127</v>
      </c>
      <c r="D1321" s="444" t="s">
        <v>117</v>
      </c>
      <c r="E1321" s="435">
        <v>1037411</v>
      </c>
      <c r="F1321" s="325">
        <f t="shared" si="8"/>
        <v>1929.1546212005412</v>
      </c>
      <c r="G1321" s="447">
        <v>537.75419999999997</v>
      </c>
      <c r="H1321" s="438" t="s">
        <v>148</v>
      </c>
      <c r="I1321" s="129" t="s">
        <v>2294</v>
      </c>
      <c r="J1321" s="129" t="s">
        <v>98</v>
      </c>
      <c r="K1321" s="129" t="s">
        <v>2312</v>
      </c>
      <c r="L1321" s="147" t="s">
        <v>155</v>
      </c>
      <c r="M1321" s="129"/>
      <c r="N1321" s="129"/>
      <c r="O1321" s="129"/>
    </row>
    <row r="1322" spans="1:15" ht="15.6" hidden="1">
      <c r="A1322" s="437">
        <v>45863</v>
      </c>
      <c r="B1322" s="367" t="s">
        <v>2295</v>
      </c>
      <c r="C1322" s="182" t="s">
        <v>127</v>
      </c>
      <c r="D1322" s="439" t="s">
        <v>117</v>
      </c>
      <c r="E1322" s="435">
        <v>300000</v>
      </c>
      <c r="F1322" s="325">
        <f t="shared" si="8"/>
        <v>557.87569859984364</v>
      </c>
      <c r="G1322" s="447">
        <v>537.75419999999997</v>
      </c>
      <c r="H1322" s="438" t="s">
        <v>148</v>
      </c>
      <c r="I1322" s="129" t="s">
        <v>2296</v>
      </c>
      <c r="J1322" s="129" t="s">
        <v>98</v>
      </c>
      <c r="K1322" s="129" t="s">
        <v>2312</v>
      </c>
      <c r="L1322" s="147" t="s">
        <v>155</v>
      </c>
      <c r="M1322" s="129"/>
      <c r="N1322" s="129"/>
      <c r="O1322" s="129"/>
    </row>
    <row r="1323" spans="1:15" ht="15.6" hidden="1">
      <c r="A1323" s="437">
        <v>45863</v>
      </c>
      <c r="B1323" s="367" t="s">
        <v>2297</v>
      </c>
      <c r="C1323" s="182" t="s">
        <v>127</v>
      </c>
      <c r="D1323" s="439" t="s">
        <v>120</v>
      </c>
      <c r="E1323" s="435">
        <v>238140</v>
      </c>
      <c r="F1323" s="325">
        <f t="shared" si="8"/>
        <v>442.84172954855586</v>
      </c>
      <c r="G1323" s="447">
        <v>537.75419999999997</v>
      </c>
      <c r="H1323" s="438" t="s">
        <v>148</v>
      </c>
      <c r="I1323" s="129" t="s">
        <v>2298</v>
      </c>
      <c r="J1323" s="129" t="s">
        <v>98</v>
      </c>
      <c r="K1323" s="129" t="s">
        <v>2312</v>
      </c>
      <c r="L1323" s="147" t="s">
        <v>155</v>
      </c>
      <c r="M1323" s="129"/>
      <c r="N1323" s="129"/>
      <c r="O1323" s="129"/>
    </row>
    <row r="1324" spans="1:15" ht="15.6" hidden="1">
      <c r="A1324" s="437">
        <v>45863</v>
      </c>
      <c r="B1324" s="367" t="s">
        <v>2299</v>
      </c>
      <c r="C1324" s="182" t="s">
        <v>127</v>
      </c>
      <c r="D1324" s="182" t="s">
        <v>117</v>
      </c>
      <c r="E1324" s="435">
        <v>70968</v>
      </c>
      <c r="F1324" s="325">
        <f t="shared" si="8"/>
        <v>131.971075260779</v>
      </c>
      <c r="G1324" s="447">
        <v>537.75419999999997</v>
      </c>
      <c r="H1324" s="438" t="s">
        <v>148</v>
      </c>
      <c r="I1324" s="129" t="s">
        <v>2300</v>
      </c>
      <c r="J1324" s="129" t="s">
        <v>98</v>
      </c>
      <c r="K1324" s="129" t="s">
        <v>2312</v>
      </c>
      <c r="L1324" s="147" t="s">
        <v>155</v>
      </c>
      <c r="M1324" s="129"/>
      <c r="N1324" s="129"/>
      <c r="O1324" s="129"/>
    </row>
    <row r="1325" spans="1:15" ht="15.6" hidden="1">
      <c r="A1325" s="437">
        <v>45863</v>
      </c>
      <c r="B1325" s="367" t="s">
        <v>2269</v>
      </c>
      <c r="C1325" s="439" t="s">
        <v>128</v>
      </c>
      <c r="D1325" s="444" t="s">
        <v>118</v>
      </c>
      <c r="E1325" s="435">
        <v>10665</v>
      </c>
      <c r="F1325" s="325">
        <f t="shared" si="8"/>
        <v>19.83248108522444</v>
      </c>
      <c r="G1325" s="447">
        <v>537.75419999999997</v>
      </c>
      <c r="H1325" s="438" t="s">
        <v>148</v>
      </c>
      <c r="I1325" s="129" t="s">
        <v>2303</v>
      </c>
      <c r="J1325" s="129" t="s">
        <v>98</v>
      </c>
      <c r="K1325" s="129" t="s">
        <v>2312</v>
      </c>
      <c r="L1325" s="147" t="s">
        <v>155</v>
      </c>
      <c r="M1325" s="129"/>
      <c r="N1325" s="129"/>
      <c r="O1325" s="129"/>
    </row>
    <row r="1326" spans="1:15" ht="15.6" hidden="1">
      <c r="A1326" s="437">
        <v>45866</v>
      </c>
      <c r="B1326" s="307" t="s">
        <v>2099</v>
      </c>
      <c r="C1326" s="308" t="s">
        <v>174</v>
      </c>
      <c r="D1326" s="309" t="s">
        <v>119</v>
      </c>
      <c r="E1326" s="307">
        <v>1000</v>
      </c>
      <c r="F1326" s="325">
        <f t="shared" si="8"/>
        <v>1.8595856619994786</v>
      </c>
      <c r="G1326" s="447">
        <v>537.75419999999997</v>
      </c>
      <c r="H1326" s="311" t="s">
        <v>153</v>
      </c>
      <c r="I1326" s="312" t="s">
        <v>2115</v>
      </c>
      <c r="J1326" s="129" t="s">
        <v>98</v>
      </c>
      <c r="K1326" s="129" t="s">
        <v>2312</v>
      </c>
      <c r="L1326" s="147" t="s">
        <v>155</v>
      </c>
      <c r="M1326" s="129"/>
      <c r="N1326" s="129"/>
      <c r="O1326" s="129"/>
    </row>
    <row r="1327" spans="1:15" ht="15.6" hidden="1">
      <c r="A1327" s="437">
        <v>45866</v>
      </c>
      <c r="B1327" s="307" t="s">
        <v>2113</v>
      </c>
      <c r="C1327" s="308" t="s">
        <v>174</v>
      </c>
      <c r="D1327" s="309" t="s">
        <v>119</v>
      </c>
      <c r="E1327" s="307">
        <v>1000</v>
      </c>
      <c r="F1327" s="325">
        <f t="shared" si="8"/>
        <v>1.8595856619994786</v>
      </c>
      <c r="G1327" s="447">
        <v>537.75419999999997</v>
      </c>
      <c r="H1327" s="311" t="s">
        <v>153</v>
      </c>
      <c r="I1327" s="312" t="s">
        <v>2115</v>
      </c>
      <c r="J1327" s="129" t="s">
        <v>98</v>
      </c>
      <c r="K1327" s="129" t="s">
        <v>2312</v>
      </c>
      <c r="L1327" s="147" t="s">
        <v>155</v>
      </c>
      <c r="M1327" s="129"/>
      <c r="N1327" s="129"/>
      <c r="O1327" s="129"/>
    </row>
    <row r="1328" spans="1:15" ht="15.6" hidden="1">
      <c r="A1328" s="437">
        <v>45866</v>
      </c>
      <c r="B1328" s="307" t="s">
        <v>2114</v>
      </c>
      <c r="C1328" s="308" t="s">
        <v>174</v>
      </c>
      <c r="D1328" s="309" t="s">
        <v>119</v>
      </c>
      <c r="E1328" s="307">
        <v>1000</v>
      </c>
      <c r="F1328" s="325">
        <f t="shared" si="8"/>
        <v>1.8595856619994786</v>
      </c>
      <c r="G1328" s="447">
        <v>537.75419999999997</v>
      </c>
      <c r="H1328" s="311" t="s">
        <v>153</v>
      </c>
      <c r="I1328" s="312" t="s">
        <v>2115</v>
      </c>
      <c r="J1328" s="129" t="s">
        <v>98</v>
      </c>
      <c r="K1328" s="129" t="s">
        <v>2312</v>
      </c>
      <c r="L1328" s="147" t="s">
        <v>155</v>
      </c>
      <c r="M1328" s="147"/>
      <c r="N1328" s="147"/>
      <c r="O1328" s="129"/>
    </row>
    <row r="1329" spans="1:15" ht="15.6" hidden="1">
      <c r="A1329" s="437">
        <v>45866</v>
      </c>
      <c r="B1329" s="307" t="s">
        <v>2100</v>
      </c>
      <c r="C1329" s="308" t="s">
        <v>174</v>
      </c>
      <c r="D1329" s="309" t="s">
        <v>119</v>
      </c>
      <c r="E1329" s="307">
        <v>1000</v>
      </c>
      <c r="F1329" s="325">
        <f t="shared" si="8"/>
        <v>1.8595856619994786</v>
      </c>
      <c r="G1329" s="447">
        <v>537.75419999999997</v>
      </c>
      <c r="H1329" s="311" t="s">
        <v>153</v>
      </c>
      <c r="I1329" s="312" t="s">
        <v>2115</v>
      </c>
      <c r="J1329" s="129" t="s">
        <v>98</v>
      </c>
      <c r="K1329" s="129" t="s">
        <v>2312</v>
      </c>
      <c r="L1329" s="147" t="s">
        <v>155</v>
      </c>
      <c r="M1329" s="129"/>
      <c r="N1329" s="129"/>
      <c r="O1329" s="129"/>
    </row>
    <row r="1330" spans="1:15" ht="15.6" hidden="1">
      <c r="A1330" s="437">
        <v>45866</v>
      </c>
      <c r="B1330" s="438" t="s">
        <v>2330</v>
      </c>
      <c r="C1330" s="438" t="s">
        <v>1948</v>
      </c>
      <c r="D1330" s="438" t="s">
        <v>118</v>
      </c>
      <c r="E1330" s="342">
        <v>6000</v>
      </c>
      <c r="F1330" s="325">
        <f t="shared" si="8"/>
        <v>11.157513971996872</v>
      </c>
      <c r="G1330" s="447">
        <v>537.75419999999997</v>
      </c>
      <c r="H1330" s="451" t="s">
        <v>583</v>
      </c>
      <c r="I1330" s="129" t="s">
        <v>2170</v>
      </c>
      <c r="J1330" s="129" t="s">
        <v>98</v>
      </c>
      <c r="K1330" s="129" t="s">
        <v>2312</v>
      </c>
      <c r="L1330" s="147" t="s">
        <v>155</v>
      </c>
      <c r="M1330" s="129"/>
      <c r="N1330" s="129"/>
      <c r="O1330" s="129"/>
    </row>
    <row r="1331" spans="1:15" ht="15.6" hidden="1">
      <c r="A1331" s="437">
        <v>45866</v>
      </c>
      <c r="B1331" s="438" t="s">
        <v>2329</v>
      </c>
      <c r="C1331" s="438" t="s">
        <v>304</v>
      </c>
      <c r="D1331" s="438" t="s">
        <v>118</v>
      </c>
      <c r="E1331" s="342">
        <v>20000</v>
      </c>
      <c r="F1331" s="325">
        <f t="shared" si="8"/>
        <v>37.191713239989575</v>
      </c>
      <c r="G1331" s="447">
        <v>537.75419999999997</v>
      </c>
      <c r="H1331" s="438" t="s">
        <v>583</v>
      </c>
      <c r="I1331" s="129" t="s">
        <v>2171</v>
      </c>
      <c r="J1331" s="129" t="s">
        <v>98</v>
      </c>
      <c r="K1331" s="129" t="s">
        <v>2312</v>
      </c>
      <c r="L1331" s="147" t="s">
        <v>155</v>
      </c>
      <c r="M1331" s="129"/>
      <c r="N1331" s="129"/>
      <c r="O1331" s="129"/>
    </row>
    <row r="1332" spans="1:15" ht="15.6" hidden="1">
      <c r="A1332" s="437">
        <v>45866</v>
      </c>
      <c r="B1332" s="438" t="s">
        <v>2155</v>
      </c>
      <c r="C1332" s="438" t="s">
        <v>304</v>
      </c>
      <c r="D1332" s="438" t="s">
        <v>118</v>
      </c>
      <c r="E1332" s="342">
        <v>75625</v>
      </c>
      <c r="F1332" s="325">
        <f t="shared" si="8"/>
        <v>140.63116568871058</v>
      </c>
      <c r="G1332" s="447">
        <v>537.75419999999997</v>
      </c>
      <c r="H1332" s="438" t="s">
        <v>583</v>
      </c>
      <c r="I1332" s="129" t="s">
        <v>2172</v>
      </c>
      <c r="J1332" s="129" t="s">
        <v>98</v>
      </c>
      <c r="K1332" s="129" t="s">
        <v>2312</v>
      </c>
      <c r="L1332" s="147" t="s">
        <v>155</v>
      </c>
      <c r="M1332" s="129"/>
      <c r="N1332" s="129"/>
      <c r="O1332" s="129"/>
    </row>
    <row r="1333" spans="1:15" ht="15.6" hidden="1">
      <c r="A1333" s="437">
        <v>45866</v>
      </c>
      <c r="B1333" s="438" t="s">
        <v>2331</v>
      </c>
      <c r="C1333" s="438" t="s">
        <v>172</v>
      </c>
      <c r="D1333" s="438" t="s">
        <v>118</v>
      </c>
      <c r="E1333" s="342">
        <v>12500</v>
      </c>
      <c r="F1333" s="325">
        <f t="shared" si="8"/>
        <v>23.244820774993485</v>
      </c>
      <c r="G1333" s="447">
        <v>537.75419999999997</v>
      </c>
      <c r="H1333" s="438" t="s">
        <v>583</v>
      </c>
      <c r="I1333" s="129" t="s">
        <v>2173</v>
      </c>
      <c r="J1333" s="129" t="s">
        <v>98</v>
      </c>
      <c r="K1333" s="129" t="s">
        <v>2312</v>
      </c>
      <c r="L1333" s="147" t="s">
        <v>155</v>
      </c>
      <c r="M1333" s="129"/>
      <c r="N1333" s="129"/>
      <c r="O1333" s="129"/>
    </row>
    <row r="1334" spans="1:15" ht="15.6" hidden="1">
      <c r="A1334" s="437">
        <v>45866</v>
      </c>
      <c r="B1334" s="184" t="s">
        <v>2214</v>
      </c>
      <c r="C1334" s="248" t="s">
        <v>196</v>
      </c>
      <c r="D1334" s="248" t="s">
        <v>117</v>
      </c>
      <c r="E1334" s="249">
        <v>1000</v>
      </c>
      <c r="F1334" s="325">
        <f t="shared" si="8"/>
        <v>1.8595856619994786</v>
      </c>
      <c r="G1334" s="447">
        <v>537.75419999999997</v>
      </c>
      <c r="H1334" s="248" t="s">
        <v>437</v>
      </c>
      <c r="I1334" s="184" t="s">
        <v>2217</v>
      </c>
      <c r="J1334" s="129" t="s">
        <v>98</v>
      </c>
      <c r="K1334" s="129" t="s">
        <v>2312</v>
      </c>
      <c r="L1334" s="147" t="s">
        <v>155</v>
      </c>
      <c r="M1334" s="129"/>
      <c r="N1334" s="129"/>
      <c r="O1334" s="129"/>
    </row>
    <row r="1335" spans="1:15" ht="15.6" hidden="1">
      <c r="A1335" s="437">
        <v>45866</v>
      </c>
      <c r="B1335" s="184" t="s">
        <v>2215</v>
      </c>
      <c r="C1335" s="248" t="s">
        <v>196</v>
      </c>
      <c r="D1335" s="248" t="s">
        <v>117</v>
      </c>
      <c r="E1335" s="249">
        <v>1000</v>
      </c>
      <c r="F1335" s="325">
        <f t="shared" si="8"/>
        <v>1.8595856619994786</v>
      </c>
      <c r="G1335" s="447">
        <v>537.75419999999997</v>
      </c>
      <c r="H1335" s="248" t="s">
        <v>437</v>
      </c>
      <c r="I1335" s="184" t="s">
        <v>2217</v>
      </c>
      <c r="J1335" s="129" t="s">
        <v>98</v>
      </c>
      <c r="K1335" s="129" t="s">
        <v>2312</v>
      </c>
      <c r="L1335" s="147" t="s">
        <v>155</v>
      </c>
      <c r="M1335" s="129"/>
      <c r="N1335" s="129"/>
      <c r="O1335" s="129"/>
    </row>
    <row r="1336" spans="1:15" ht="15.6" hidden="1">
      <c r="A1336" s="437">
        <v>45866</v>
      </c>
      <c r="B1336" s="438" t="s">
        <v>2223</v>
      </c>
      <c r="C1336" s="184" t="s">
        <v>174</v>
      </c>
      <c r="D1336" s="448" t="s">
        <v>120</v>
      </c>
      <c r="E1336" s="446">
        <v>1000</v>
      </c>
      <c r="F1336" s="325">
        <f t="shared" si="8"/>
        <v>1.8595856619994786</v>
      </c>
      <c r="G1336" s="447">
        <v>537.75419999999997</v>
      </c>
      <c r="H1336" s="438" t="s">
        <v>213</v>
      </c>
      <c r="I1336" s="129" t="s">
        <v>2233</v>
      </c>
      <c r="J1336" s="129" t="s">
        <v>98</v>
      </c>
      <c r="K1336" s="129" t="s">
        <v>2312</v>
      </c>
      <c r="L1336" s="147" t="s">
        <v>155</v>
      </c>
      <c r="M1336" s="129"/>
      <c r="N1336" s="129"/>
      <c r="O1336" s="129"/>
    </row>
    <row r="1337" spans="1:15" ht="15.6" hidden="1">
      <c r="A1337" s="437">
        <v>45866</v>
      </c>
      <c r="B1337" s="438" t="s">
        <v>2224</v>
      </c>
      <c r="C1337" s="184" t="s">
        <v>174</v>
      </c>
      <c r="D1337" s="448" t="s">
        <v>120</v>
      </c>
      <c r="E1337" s="446">
        <v>1000</v>
      </c>
      <c r="F1337" s="325">
        <f t="shared" si="8"/>
        <v>1.8595856619994786</v>
      </c>
      <c r="G1337" s="447">
        <v>537.75419999999997</v>
      </c>
      <c r="H1337" s="438" t="s">
        <v>213</v>
      </c>
      <c r="I1337" s="129" t="s">
        <v>2233</v>
      </c>
      <c r="J1337" s="129" t="s">
        <v>98</v>
      </c>
      <c r="K1337" s="129" t="s">
        <v>2312</v>
      </c>
      <c r="L1337" s="147" t="s">
        <v>155</v>
      </c>
      <c r="M1337" s="129"/>
      <c r="N1337" s="129"/>
      <c r="O1337" s="129"/>
    </row>
    <row r="1338" spans="1:15" ht="15.6" hidden="1">
      <c r="A1338" s="437">
        <v>45866</v>
      </c>
      <c r="B1338" s="438" t="s">
        <v>2332</v>
      </c>
      <c r="C1338" s="438" t="s">
        <v>2088</v>
      </c>
      <c r="D1338" s="438" t="s">
        <v>120</v>
      </c>
      <c r="E1338" s="342">
        <v>66000</v>
      </c>
      <c r="F1338" s="325">
        <f t="shared" si="8"/>
        <v>122.7326536919656</v>
      </c>
      <c r="G1338" s="447">
        <v>537.75419999999997</v>
      </c>
      <c r="H1338" s="438" t="s">
        <v>213</v>
      </c>
      <c r="I1338" s="131" t="s">
        <v>2234</v>
      </c>
      <c r="J1338" s="129" t="s">
        <v>98</v>
      </c>
      <c r="K1338" s="129" t="s">
        <v>2312</v>
      </c>
      <c r="L1338" s="147" t="s">
        <v>155</v>
      </c>
      <c r="M1338" s="129"/>
      <c r="N1338" s="129"/>
      <c r="O1338" s="129"/>
    </row>
    <row r="1339" spans="1:15" ht="15.6" hidden="1">
      <c r="A1339" s="437">
        <v>45866</v>
      </c>
      <c r="B1339" s="438" t="s">
        <v>2333</v>
      </c>
      <c r="C1339" s="438" t="s">
        <v>2088</v>
      </c>
      <c r="D1339" s="438" t="s">
        <v>120</v>
      </c>
      <c r="E1339" s="342">
        <v>30000</v>
      </c>
      <c r="F1339" s="325">
        <f t="shared" si="8"/>
        <v>55.787569859984359</v>
      </c>
      <c r="G1339" s="447">
        <v>537.75419999999997</v>
      </c>
      <c r="H1339" s="438" t="s">
        <v>213</v>
      </c>
      <c r="I1339" s="131" t="s">
        <v>2235</v>
      </c>
      <c r="J1339" s="129" t="s">
        <v>98</v>
      </c>
      <c r="K1339" s="129" t="s">
        <v>2312</v>
      </c>
      <c r="L1339" s="147" t="s">
        <v>155</v>
      </c>
      <c r="M1339" s="129"/>
      <c r="N1339" s="129"/>
      <c r="O1339" s="129"/>
    </row>
    <row r="1340" spans="1:15" ht="15.6" hidden="1">
      <c r="A1340" s="437">
        <v>45866</v>
      </c>
      <c r="B1340" s="438" t="s">
        <v>2225</v>
      </c>
      <c r="C1340" s="438" t="s">
        <v>2088</v>
      </c>
      <c r="D1340" s="438" t="s">
        <v>120</v>
      </c>
      <c r="E1340" s="342">
        <v>6000</v>
      </c>
      <c r="F1340" s="325">
        <f t="shared" si="8"/>
        <v>11.157513971996872</v>
      </c>
      <c r="G1340" s="447">
        <v>537.75419999999997</v>
      </c>
      <c r="H1340" s="438" t="s">
        <v>213</v>
      </c>
      <c r="I1340" s="131" t="s">
        <v>2236</v>
      </c>
      <c r="J1340" s="129" t="s">
        <v>98</v>
      </c>
      <c r="K1340" s="129" t="s">
        <v>2312</v>
      </c>
      <c r="L1340" s="147" t="s">
        <v>155</v>
      </c>
      <c r="M1340" s="129"/>
      <c r="N1340" s="129"/>
      <c r="O1340" s="129"/>
    </row>
    <row r="1341" spans="1:15" ht="15.6" hidden="1">
      <c r="A1341" s="437">
        <v>45866</v>
      </c>
      <c r="B1341" s="438" t="s">
        <v>2237</v>
      </c>
      <c r="C1341" s="438" t="s">
        <v>174</v>
      </c>
      <c r="D1341" s="438" t="s">
        <v>117</v>
      </c>
      <c r="E1341" s="438">
        <v>1000</v>
      </c>
      <c r="F1341" s="325">
        <f t="shared" si="8"/>
        <v>1.8595856619994786</v>
      </c>
      <c r="G1341" s="447">
        <v>537.75419999999997</v>
      </c>
      <c r="H1341" s="438" t="s">
        <v>187</v>
      </c>
      <c r="I1341" s="129" t="s">
        <v>2239</v>
      </c>
      <c r="J1341" s="129" t="s">
        <v>98</v>
      </c>
      <c r="K1341" s="129" t="s">
        <v>2312</v>
      </c>
      <c r="L1341" s="147" t="s">
        <v>155</v>
      </c>
      <c r="M1341" s="129"/>
      <c r="N1341" s="129"/>
      <c r="O1341" s="129"/>
    </row>
    <row r="1342" spans="1:15" ht="15.6" hidden="1">
      <c r="A1342" s="437">
        <v>45866</v>
      </c>
      <c r="B1342" s="438" t="s">
        <v>2238</v>
      </c>
      <c r="C1342" s="438" t="s">
        <v>174</v>
      </c>
      <c r="D1342" s="438" t="s">
        <v>117</v>
      </c>
      <c r="E1342" s="438">
        <v>1000</v>
      </c>
      <c r="F1342" s="325">
        <f t="shared" si="8"/>
        <v>1.8595856619994786</v>
      </c>
      <c r="G1342" s="447">
        <v>537.75419999999997</v>
      </c>
      <c r="H1342" s="438" t="s">
        <v>187</v>
      </c>
      <c r="I1342" s="129" t="s">
        <v>2239</v>
      </c>
      <c r="J1342" s="129" t="s">
        <v>98</v>
      </c>
      <c r="K1342" s="129" t="s">
        <v>2312</v>
      </c>
      <c r="L1342" s="147" t="s">
        <v>155</v>
      </c>
      <c r="M1342" s="129"/>
      <c r="N1342" s="129"/>
      <c r="O1342" s="129"/>
    </row>
    <row r="1343" spans="1:15" ht="15.6" hidden="1">
      <c r="A1343" s="437">
        <v>45866</v>
      </c>
      <c r="B1343" s="367" t="s">
        <v>2304</v>
      </c>
      <c r="C1343" s="182" t="s">
        <v>123</v>
      </c>
      <c r="D1343" s="182" t="s">
        <v>117</v>
      </c>
      <c r="E1343" s="435">
        <v>300000</v>
      </c>
      <c r="F1343" s="325">
        <f t="shared" si="8"/>
        <v>557.87569859984364</v>
      </c>
      <c r="G1343" s="447">
        <v>537.75419999999997</v>
      </c>
      <c r="H1343" s="438" t="s">
        <v>148</v>
      </c>
      <c r="I1343" s="129" t="s">
        <v>2305</v>
      </c>
      <c r="J1343" s="129" t="s">
        <v>98</v>
      </c>
      <c r="K1343" s="129" t="s">
        <v>2312</v>
      </c>
      <c r="L1343" s="147" t="s">
        <v>155</v>
      </c>
      <c r="M1343" s="129"/>
      <c r="N1343" s="129"/>
      <c r="O1343" s="129"/>
    </row>
    <row r="1344" spans="1:15" ht="15.6" hidden="1">
      <c r="A1344" s="437">
        <v>45867</v>
      </c>
      <c r="B1344" s="307" t="s">
        <v>2099</v>
      </c>
      <c r="C1344" s="308" t="s">
        <v>174</v>
      </c>
      <c r="D1344" s="309" t="s">
        <v>119</v>
      </c>
      <c r="E1344" s="307">
        <v>1000</v>
      </c>
      <c r="F1344" s="325">
        <f t="shared" si="8"/>
        <v>1.8595856619994786</v>
      </c>
      <c r="G1344" s="447">
        <v>537.75419999999997</v>
      </c>
      <c r="H1344" s="311" t="s">
        <v>153</v>
      </c>
      <c r="I1344" s="312" t="s">
        <v>2115</v>
      </c>
      <c r="J1344" s="129" t="s">
        <v>98</v>
      </c>
      <c r="K1344" s="129" t="s">
        <v>2312</v>
      </c>
      <c r="L1344" s="147" t="s">
        <v>155</v>
      </c>
      <c r="M1344" s="129"/>
      <c r="N1344" s="129"/>
      <c r="O1344" s="129"/>
    </row>
    <row r="1345" spans="1:15" ht="15.6" hidden="1">
      <c r="A1345" s="437">
        <v>45867</v>
      </c>
      <c r="B1345" s="307" t="s">
        <v>2100</v>
      </c>
      <c r="C1345" s="308" t="s">
        <v>174</v>
      </c>
      <c r="D1345" s="309" t="s">
        <v>119</v>
      </c>
      <c r="E1345" s="307">
        <v>1000</v>
      </c>
      <c r="F1345" s="325">
        <f t="shared" si="8"/>
        <v>1.8595856619994786</v>
      </c>
      <c r="G1345" s="447">
        <v>537.75419999999997</v>
      </c>
      <c r="H1345" s="311" t="s">
        <v>153</v>
      </c>
      <c r="I1345" s="312" t="s">
        <v>2115</v>
      </c>
      <c r="J1345" s="129" t="s">
        <v>98</v>
      </c>
      <c r="K1345" s="129" t="s">
        <v>2312</v>
      </c>
      <c r="L1345" s="147" t="s">
        <v>155</v>
      </c>
      <c r="M1345" s="129"/>
      <c r="N1345" s="129"/>
      <c r="O1345" s="129"/>
    </row>
    <row r="1346" spans="1:15" ht="15.6" hidden="1">
      <c r="A1346" s="437">
        <v>45867</v>
      </c>
      <c r="B1346" s="438" t="s">
        <v>2156</v>
      </c>
      <c r="C1346" s="438" t="s">
        <v>174</v>
      </c>
      <c r="D1346" s="438" t="s">
        <v>118</v>
      </c>
      <c r="E1346" s="342">
        <v>1000</v>
      </c>
      <c r="F1346" s="325">
        <f t="shared" si="8"/>
        <v>1.8595856619994786</v>
      </c>
      <c r="G1346" s="447">
        <v>537.75419999999997</v>
      </c>
      <c r="H1346" s="438" t="s">
        <v>583</v>
      </c>
      <c r="I1346" s="129" t="s">
        <v>2164</v>
      </c>
      <c r="J1346" s="129" t="s">
        <v>98</v>
      </c>
      <c r="K1346" s="129" t="s">
        <v>2312</v>
      </c>
      <c r="L1346" s="147" t="s">
        <v>155</v>
      </c>
      <c r="M1346" s="129"/>
      <c r="N1346" s="129"/>
      <c r="O1346" s="129"/>
    </row>
    <row r="1347" spans="1:15" ht="15.6" hidden="1">
      <c r="A1347" s="437">
        <v>45867</v>
      </c>
      <c r="B1347" s="438" t="s">
        <v>2157</v>
      </c>
      <c r="C1347" s="438" t="s">
        <v>174</v>
      </c>
      <c r="D1347" s="438" t="s">
        <v>118</v>
      </c>
      <c r="E1347" s="342">
        <v>1000</v>
      </c>
      <c r="F1347" s="325">
        <f t="shared" si="8"/>
        <v>1.8595856619994786</v>
      </c>
      <c r="G1347" s="447">
        <v>537.75419999999997</v>
      </c>
      <c r="H1347" s="438" t="s">
        <v>583</v>
      </c>
      <c r="I1347" s="129" t="s">
        <v>2164</v>
      </c>
      <c r="J1347" s="129" t="s">
        <v>98</v>
      </c>
      <c r="K1347" s="129" t="s">
        <v>2312</v>
      </c>
      <c r="L1347" s="147" t="s">
        <v>155</v>
      </c>
      <c r="M1347" s="129"/>
      <c r="N1347" s="129"/>
      <c r="O1347" s="129"/>
    </row>
    <row r="1348" spans="1:15" ht="15.6" hidden="1">
      <c r="A1348" s="437">
        <v>45867</v>
      </c>
      <c r="B1348" s="438" t="s">
        <v>2158</v>
      </c>
      <c r="C1348" s="182" t="s">
        <v>123</v>
      </c>
      <c r="D1348" s="182" t="s">
        <v>117</v>
      </c>
      <c r="E1348" s="342">
        <v>115000</v>
      </c>
      <c r="F1348" s="325">
        <f t="shared" ref="F1348:F1373" si="9">E1348/G1348</f>
        <v>213.85235112994005</v>
      </c>
      <c r="G1348" s="447">
        <v>537.75419999999997</v>
      </c>
      <c r="H1348" s="438" t="s">
        <v>583</v>
      </c>
      <c r="I1348" s="129" t="s">
        <v>2174</v>
      </c>
      <c r="J1348" s="129" t="s">
        <v>98</v>
      </c>
      <c r="K1348" s="129" t="s">
        <v>2312</v>
      </c>
      <c r="L1348" s="147" t="s">
        <v>155</v>
      </c>
      <c r="M1348" s="129"/>
      <c r="N1348" s="129"/>
      <c r="O1348" s="129"/>
    </row>
    <row r="1349" spans="1:15" ht="15.6" hidden="1">
      <c r="A1349" s="437">
        <v>45867</v>
      </c>
      <c r="B1349" s="438" t="s">
        <v>1548</v>
      </c>
      <c r="C1349" s="438" t="s">
        <v>172</v>
      </c>
      <c r="D1349" s="438" t="s">
        <v>118</v>
      </c>
      <c r="E1349" s="342">
        <v>300000</v>
      </c>
      <c r="F1349" s="325">
        <f t="shared" si="9"/>
        <v>557.87569859984364</v>
      </c>
      <c r="G1349" s="447">
        <v>537.75419999999997</v>
      </c>
      <c r="H1349" s="438" t="s">
        <v>583</v>
      </c>
      <c r="I1349" s="129" t="s">
        <v>2175</v>
      </c>
      <c r="J1349" s="129" t="s">
        <v>98</v>
      </c>
      <c r="K1349" s="129" t="s">
        <v>2312</v>
      </c>
      <c r="L1349" s="147" t="s">
        <v>155</v>
      </c>
      <c r="M1349" s="129"/>
      <c r="N1349" s="129"/>
      <c r="O1349" s="129"/>
    </row>
    <row r="1350" spans="1:15" ht="15.6" hidden="1">
      <c r="A1350" s="437">
        <v>45867</v>
      </c>
      <c r="B1350" s="438" t="s">
        <v>550</v>
      </c>
      <c r="C1350" s="438" t="s">
        <v>172</v>
      </c>
      <c r="D1350" s="438" t="s">
        <v>118</v>
      </c>
      <c r="E1350" s="342">
        <v>25000</v>
      </c>
      <c r="F1350" s="325">
        <f t="shared" si="9"/>
        <v>46.48964154998697</v>
      </c>
      <c r="G1350" s="447">
        <v>537.75419999999997</v>
      </c>
      <c r="H1350" s="438" t="s">
        <v>190</v>
      </c>
      <c r="I1350" s="129" t="s">
        <v>2186</v>
      </c>
      <c r="J1350" s="129" t="s">
        <v>98</v>
      </c>
      <c r="K1350" s="129" t="s">
        <v>2312</v>
      </c>
      <c r="L1350" s="147" t="s">
        <v>155</v>
      </c>
      <c r="M1350" s="129"/>
      <c r="N1350" s="129"/>
      <c r="O1350" s="129"/>
    </row>
    <row r="1351" spans="1:15" ht="15.6" hidden="1">
      <c r="A1351" s="437">
        <v>45867</v>
      </c>
      <c r="B1351" s="438" t="s">
        <v>2226</v>
      </c>
      <c r="C1351" s="184" t="s">
        <v>174</v>
      </c>
      <c r="D1351" s="448" t="s">
        <v>120</v>
      </c>
      <c r="E1351" s="446">
        <v>1000</v>
      </c>
      <c r="F1351" s="325">
        <f t="shared" si="9"/>
        <v>1.8595856619994786</v>
      </c>
      <c r="G1351" s="447">
        <v>537.75419999999997</v>
      </c>
      <c r="H1351" s="438" t="s">
        <v>213</v>
      </c>
      <c r="I1351" s="129" t="s">
        <v>2233</v>
      </c>
      <c r="J1351" s="129" t="s">
        <v>98</v>
      </c>
      <c r="K1351" s="129" t="s">
        <v>2312</v>
      </c>
      <c r="L1351" s="147" t="s">
        <v>155</v>
      </c>
      <c r="M1351" s="129"/>
      <c r="N1351" s="129"/>
      <c r="O1351" s="129"/>
    </row>
    <row r="1352" spans="1:15" ht="15.6" hidden="1">
      <c r="A1352" s="437">
        <v>45867</v>
      </c>
      <c r="B1352" s="438" t="s">
        <v>2227</v>
      </c>
      <c r="C1352" s="184" t="s">
        <v>174</v>
      </c>
      <c r="D1352" s="448" t="s">
        <v>120</v>
      </c>
      <c r="E1352" s="446">
        <v>1000</v>
      </c>
      <c r="F1352" s="325">
        <f t="shared" si="9"/>
        <v>1.8595856619994786</v>
      </c>
      <c r="G1352" s="447">
        <v>537.75419999999997</v>
      </c>
      <c r="H1352" s="438" t="s">
        <v>213</v>
      </c>
      <c r="I1352" s="129" t="s">
        <v>2233</v>
      </c>
      <c r="J1352" s="129" t="s">
        <v>98</v>
      </c>
      <c r="K1352" s="129" t="s">
        <v>2312</v>
      </c>
      <c r="L1352" s="147" t="s">
        <v>155</v>
      </c>
      <c r="M1352" s="129"/>
      <c r="N1352" s="129"/>
      <c r="O1352" s="129"/>
    </row>
    <row r="1353" spans="1:15" ht="15.6" hidden="1">
      <c r="A1353" s="437">
        <v>45867</v>
      </c>
      <c r="B1353" s="438" t="s">
        <v>2228</v>
      </c>
      <c r="C1353" s="184" t="s">
        <v>174</v>
      </c>
      <c r="D1353" s="448" t="s">
        <v>120</v>
      </c>
      <c r="E1353" s="446">
        <v>1000</v>
      </c>
      <c r="F1353" s="325">
        <f t="shared" si="9"/>
        <v>1.8595856619994786</v>
      </c>
      <c r="G1353" s="447">
        <v>537.75419999999997</v>
      </c>
      <c r="H1353" s="438" t="s">
        <v>213</v>
      </c>
      <c r="I1353" s="129" t="s">
        <v>2233</v>
      </c>
      <c r="J1353" s="129" t="s">
        <v>98</v>
      </c>
      <c r="K1353" s="129" t="s">
        <v>2312</v>
      </c>
      <c r="L1353" s="147" t="s">
        <v>155</v>
      </c>
      <c r="M1353" s="129"/>
      <c r="N1353" s="129"/>
      <c r="O1353" s="129"/>
    </row>
    <row r="1354" spans="1:15" ht="15.6" hidden="1">
      <c r="A1354" s="437">
        <v>45867</v>
      </c>
      <c r="B1354" s="438" t="s">
        <v>2229</v>
      </c>
      <c r="C1354" s="184" t="s">
        <v>174</v>
      </c>
      <c r="D1354" s="448" t="s">
        <v>120</v>
      </c>
      <c r="E1354" s="446">
        <v>1000</v>
      </c>
      <c r="F1354" s="325">
        <f t="shared" si="9"/>
        <v>1.8595856619994786</v>
      </c>
      <c r="G1354" s="447">
        <v>537.75419999999997</v>
      </c>
      <c r="H1354" s="438" t="s">
        <v>213</v>
      </c>
      <c r="I1354" s="129" t="s">
        <v>2233</v>
      </c>
      <c r="J1354" s="129" t="s">
        <v>98</v>
      </c>
      <c r="K1354" s="129" t="s">
        <v>2312</v>
      </c>
      <c r="L1354" s="147" t="s">
        <v>155</v>
      </c>
      <c r="M1354" s="129"/>
      <c r="N1354" s="129"/>
      <c r="O1354" s="129"/>
    </row>
    <row r="1355" spans="1:15" ht="15.6" hidden="1">
      <c r="A1355" s="437">
        <v>45867</v>
      </c>
      <c r="B1355" s="438" t="s">
        <v>2230</v>
      </c>
      <c r="C1355" s="184" t="s">
        <v>174</v>
      </c>
      <c r="D1355" s="448" t="s">
        <v>120</v>
      </c>
      <c r="E1355" s="446">
        <v>1000</v>
      </c>
      <c r="F1355" s="325">
        <f t="shared" si="9"/>
        <v>1.8595856619994786</v>
      </c>
      <c r="G1355" s="447">
        <v>537.75419999999997</v>
      </c>
      <c r="H1355" s="438" t="s">
        <v>213</v>
      </c>
      <c r="I1355" s="129" t="s">
        <v>2233</v>
      </c>
      <c r="J1355" s="129" t="s">
        <v>98</v>
      </c>
      <c r="K1355" s="129" t="s">
        <v>2312</v>
      </c>
      <c r="L1355" s="147" t="s">
        <v>155</v>
      </c>
      <c r="M1355" s="129"/>
      <c r="N1355" s="129"/>
      <c r="O1355" s="129"/>
    </row>
    <row r="1356" spans="1:15" ht="15.6" hidden="1">
      <c r="A1356" s="437">
        <v>45867</v>
      </c>
      <c r="B1356" s="438" t="s">
        <v>2231</v>
      </c>
      <c r="C1356" s="184" t="s">
        <v>174</v>
      </c>
      <c r="D1356" s="448" t="s">
        <v>120</v>
      </c>
      <c r="E1356" s="446">
        <v>1000</v>
      </c>
      <c r="F1356" s="325">
        <f t="shared" si="9"/>
        <v>1.8595856619994786</v>
      </c>
      <c r="G1356" s="447">
        <v>537.75419999999997</v>
      </c>
      <c r="H1356" s="438" t="s">
        <v>213</v>
      </c>
      <c r="I1356" s="129" t="s">
        <v>2233</v>
      </c>
      <c r="J1356" s="129" t="s">
        <v>98</v>
      </c>
      <c r="K1356" s="129" t="s">
        <v>2312</v>
      </c>
      <c r="L1356" s="147" t="s">
        <v>155</v>
      </c>
      <c r="M1356" s="129"/>
      <c r="N1356" s="129"/>
      <c r="O1356" s="129"/>
    </row>
    <row r="1357" spans="1:15" ht="15.6" hidden="1">
      <c r="A1357" s="437">
        <v>45867</v>
      </c>
      <c r="B1357" s="438" t="s">
        <v>2232</v>
      </c>
      <c r="C1357" s="184" t="s">
        <v>174</v>
      </c>
      <c r="D1357" s="448" t="s">
        <v>120</v>
      </c>
      <c r="E1357" s="446">
        <v>1000</v>
      </c>
      <c r="F1357" s="325">
        <f t="shared" si="9"/>
        <v>1.8595856619994786</v>
      </c>
      <c r="G1357" s="447">
        <v>537.75419999999997</v>
      </c>
      <c r="H1357" s="438" t="s">
        <v>213</v>
      </c>
      <c r="I1357" s="129" t="s">
        <v>2233</v>
      </c>
      <c r="J1357" s="129" t="s">
        <v>98</v>
      </c>
      <c r="K1357" s="129" t="s">
        <v>2312</v>
      </c>
      <c r="L1357" s="147" t="s">
        <v>155</v>
      </c>
      <c r="M1357" s="129"/>
      <c r="N1357" s="129"/>
      <c r="O1357" s="129"/>
    </row>
    <row r="1358" spans="1:15" ht="15.6" hidden="1">
      <c r="A1358" s="437">
        <v>45868</v>
      </c>
      <c r="B1358" s="307" t="s">
        <v>2099</v>
      </c>
      <c r="C1358" s="308" t="s">
        <v>174</v>
      </c>
      <c r="D1358" s="309" t="s">
        <v>119</v>
      </c>
      <c r="E1358" s="307">
        <v>1000</v>
      </c>
      <c r="F1358" s="325">
        <f t="shared" si="9"/>
        <v>1.8595856619994786</v>
      </c>
      <c r="G1358" s="447">
        <v>537.75419999999997</v>
      </c>
      <c r="H1358" s="311" t="s">
        <v>153</v>
      </c>
      <c r="I1358" s="312" t="s">
        <v>2115</v>
      </c>
      <c r="J1358" s="129" t="s">
        <v>98</v>
      </c>
      <c r="K1358" s="129" t="s">
        <v>2312</v>
      </c>
      <c r="L1358" s="147" t="s">
        <v>155</v>
      </c>
      <c r="M1358" s="129"/>
      <c r="N1358" s="129"/>
      <c r="O1358" s="129"/>
    </row>
    <row r="1359" spans="1:15" ht="15.6" hidden="1">
      <c r="A1359" s="437">
        <v>45868</v>
      </c>
      <c r="B1359" s="307" t="s">
        <v>2100</v>
      </c>
      <c r="C1359" s="308" t="s">
        <v>174</v>
      </c>
      <c r="D1359" s="309" t="s">
        <v>119</v>
      </c>
      <c r="E1359" s="307">
        <v>1000</v>
      </c>
      <c r="F1359" s="325">
        <f t="shared" si="9"/>
        <v>1.8595856619994786</v>
      </c>
      <c r="G1359" s="447">
        <v>537.75419999999997</v>
      </c>
      <c r="H1359" s="311" t="s">
        <v>153</v>
      </c>
      <c r="I1359" s="312" t="s">
        <v>2115</v>
      </c>
      <c r="J1359" s="129" t="s">
        <v>98</v>
      </c>
      <c r="K1359" s="129" t="s">
        <v>2312</v>
      </c>
      <c r="L1359" s="147" t="s">
        <v>155</v>
      </c>
      <c r="M1359" s="129"/>
      <c r="N1359" s="129"/>
      <c r="O1359" s="129"/>
    </row>
    <row r="1360" spans="1:15" ht="15.6" hidden="1">
      <c r="A1360" s="437">
        <v>45868</v>
      </c>
      <c r="B1360" s="438" t="s">
        <v>2159</v>
      </c>
      <c r="C1360" s="438" t="s">
        <v>174</v>
      </c>
      <c r="D1360" s="438" t="s">
        <v>118</v>
      </c>
      <c r="E1360" s="342">
        <v>1000</v>
      </c>
      <c r="F1360" s="325">
        <f t="shared" si="9"/>
        <v>1.8595856619994786</v>
      </c>
      <c r="G1360" s="447">
        <v>537.75419999999997</v>
      </c>
      <c r="H1360" s="438" t="s">
        <v>583</v>
      </c>
      <c r="I1360" s="129" t="s">
        <v>2164</v>
      </c>
      <c r="J1360" s="129" t="s">
        <v>98</v>
      </c>
      <c r="K1360" s="129" t="s">
        <v>2312</v>
      </c>
      <c r="L1360" s="147" t="s">
        <v>155</v>
      </c>
      <c r="M1360" s="129"/>
      <c r="N1360" s="129"/>
      <c r="O1360" s="129"/>
    </row>
    <row r="1361" spans="1:17" ht="15.6" hidden="1">
      <c r="A1361" s="437">
        <v>45868</v>
      </c>
      <c r="B1361" s="438" t="s">
        <v>2160</v>
      </c>
      <c r="C1361" s="438" t="s">
        <v>174</v>
      </c>
      <c r="D1361" s="438" t="s">
        <v>118</v>
      </c>
      <c r="E1361" s="342">
        <v>1000</v>
      </c>
      <c r="F1361" s="325">
        <f t="shared" si="9"/>
        <v>1.8595856619994786</v>
      </c>
      <c r="G1361" s="447">
        <v>537.75419999999997</v>
      </c>
      <c r="H1361" s="438" t="s">
        <v>583</v>
      </c>
      <c r="I1361" s="129" t="s">
        <v>2164</v>
      </c>
      <c r="J1361" s="129" t="s">
        <v>98</v>
      </c>
      <c r="K1361" s="129" t="s">
        <v>2312</v>
      </c>
      <c r="L1361" s="147" t="s">
        <v>155</v>
      </c>
      <c r="M1361" s="129"/>
      <c r="N1361" s="129"/>
      <c r="O1361" s="129"/>
    </row>
    <row r="1362" spans="1:17" ht="15.6" hidden="1">
      <c r="A1362" s="437">
        <v>45868</v>
      </c>
      <c r="B1362" s="438" t="s">
        <v>2161</v>
      </c>
      <c r="C1362" s="438" t="s">
        <v>626</v>
      </c>
      <c r="D1362" s="438" t="s">
        <v>118</v>
      </c>
      <c r="E1362" s="342">
        <v>45050</v>
      </c>
      <c r="F1362" s="325">
        <f t="shared" si="9"/>
        <v>83.774334073076517</v>
      </c>
      <c r="G1362" s="447">
        <v>537.75419999999997</v>
      </c>
      <c r="H1362" s="438" t="s">
        <v>583</v>
      </c>
      <c r="I1362" s="129" t="s">
        <v>2176</v>
      </c>
      <c r="J1362" s="129" t="s">
        <v>98</v>
      </c>
      <c r="K1362" s="129" t="s">
        <v>2312</v>
      </c>
      <c r="L1362" s="147" t="s">
        <v>155</v>
      </c>
      <c r="M1362" s="129"/>
      <c r="N1362" s="129"/>
      <c r="O1362" s="129"/>
    </row>
    <row r="1363" spans="1:17" ht="15.6" hidden="1">
      <c r="A1363" s="437">
        <v>45868</v>
      </c>
      <c r="B1363" s="367" t="s">
        <v>2306</v>
      </c>
      <c r="C1363" s="182" t="s">
        <v>127</v>
      </c>
      <c r="D1363" s="182" t="s">
        <v>121</v>
      </c>
      <c r="E1363" s="435">
        <v>370000</v>
      </c>
      <c r="F1363" s="325">
        <f t="shared" si="9"/>
        <v>688.04669493980714</v>
      </c>
      <c r="G1363" s="447">
        <v>537.75419999999997</v>
      </c>
      <c r="H1363" s="438" t="s">
        <v>148</v>
      </c>
      <c r="I1363" s="129" t="s">
        <v>2307</v>
      </c>
      <c r="J1363" s="129" t="s">
        <v>98</v>
      </c>
      <c r="K1363" s="129" t="s">
        <v>2312</v>
      </c>
      <c r="L1363" s="147" t="s">
        <v>155</v>
      </c>
      <c r="M1363" s="129"/>
      <c r="N1363" s="129"/>
      <c r="O1363" s="129"/>
    </row>
    <row r="1364" spans="1:17" ht="15.6" hidden="1">
      <c r="A1364" s="437">
        <v>45868</v>
      </c>
      <c r="B1364" s="367" t="s">
        <v>2308</v>
      </c>
      <c r="C1364" s="182"/>
      <c r="D1364" s="182" t="s">
        <v>121</v>
      </c>
      <c r="E1364" s="435">
        <v>225000</v>
      </c>
      <c r="F1364" s="325">
        <f t="shared" si="9"/>
        <v>418.40677394988268</v>
      </c>
      <c r="G1364" s="447">
        <v>537.75419999999997</v>
      </c>
      <c r="H1364" s="438" t="s">
        <v>148</v>
      </c>
      <c r="I1364" s="129" t="s">
        <v>2309</v>
      </c>
      <c r="J1364" s="129" t="s">
        <v>98</v>
      </c>
      <c r="K1364" s="129" t="s">
        <v>2312</v>
      </c>
      <c r="L1364" s="147" t="s">
        <v>155</v>
      </c>
      <c r="M1364" s="129"/>
      <c r="N1364" s="129"/>
      <c r="O1364" s="129"/>
    </row>
    <row r="1365" spans="1:17" ht="15.6" hidden="1">
      <c r="A1365" s="437">
        <v>45869</v>
      </c>
      <c r="B1365" s="307" t="s">
        <v>2099</v>
      </c>
      <c r="C1365" s="308" t="s">
        <v>174</v>
      </c>
      <c r="D1365" s="309" t="s">
        <v>119</v>
      </c>
      <c r="E1365" s="307">
        <v>1000</v>
      </c>
      <c r="F1365" s="325">
        <f t="shared" si="9"/>
        <v>1.8595856619994786</v>
      </c>
      <c r="G1365" s="447">
        <v>537.75419999999997</v>
      </c>
      <c r="H1365" s="311" t="s">
        <v>153</v>
      </c>
      <c r="I1365" s="312" t="s">
        <v>2115</v>
      </c>
      <c r="J1365" s="129" t="s">
        <v>98</v>
      </c>
      <c r="K1365" s="129" t="s">
        <v>2312</v>
      </c>
      <c r="L1365" s="147" t="s">
        <v>155</v>
      </c>
      <c r="M1365" s="129"/>
      <c r="N1365" s="129"/>
      <c r="O1365" s="129"/>
    </row>
    <row r="1366" spans="1:17" ht="15.6" hidden="1">
      <c r="A1366" s="437">
        <v>45869</v>
      </c>
      <c r="B1366" s="307" t="s">
        <v>2100</v>
      </c>
      <c r="C1366" s="308" t="s">
        <v>174</v>
      </c>
      <c r="D1366" s="309" t="s">
        <v>119</v>
      </c>
      <c r="E1366" s="307">
        <v>1000</v>
      </c>
      <c r="F1366" s="325">
        <f t="shared" si="9"/>
        <v>1.8595856619994786</v>
      </c>
      <c r="G1366" s="447">
        <v>537.75419999999997</v>
      </c>
      <c r="H1366" s="311" t="s">
        <v>153</v>
      </c>
      <c r="I1366" s="312" t="s">
        <v>2115</v>
      </c>
      <c r="J1366" s="129" t="s">
        <v>98</v>
      </c>
      <c r="K1366" s="129" t="s">
        <v>2312</v>
      </c>
      <c r="L1366" s="147" t="s">
        <v>155</v>
      </c>
      <c r="M1366" s="189"/>
      <c r="N1366" s="189"/>
      <c r="O1366" s="189"/>
    </row>
    <row r="1367" spans="1:17" ht="15.6" hidden="1">
      <c r="A1367" s="437">
        <v>45869</v>
      </c>
      <c r="B1367" s="438" t="s">
        <v>2162</v>
      </c>
      <c r="C1367" s="438" t="s">
        <v>174</v>
      </c>
      <c r="D1367" s="438" t="s">
        <v>118</v>
      </c>
      <c r="E1367" s="342">
        <v>1000</v>
      </c>
      <c r="F1367" s="325">
        <f t="shared" si="9"/>
        <v>1.8595856619994786</v>
      </c>
      <c r="G1367" s="447">
        <v>537.75419999999997</v>
      </c>
      <c r="H1367" s="438" t="s">
        <v>583</v>
      </c>
      <c r="I1367" s="129" t="s">
        <v>2164</v>
      </c>
      <c r="J1367" s="129" t="s">
        <v>98</v>
      </c>
      <c r="K1367" s="129" t="s">
        <v>2312</v>
      </c>
      <c r="L1367" s="147" t="s">
        <v>155</v>
      </c>
      <c r="M1367" s="129"/>
      <c r="N1367" s="129"/>
      <c r="O1367" s="129"/>
    </row>
    <row r="1368" spans="1:17" ht="15.6" hidden="1">
      <c r="A1368" s="437">
        <v>45869</v>
      </c>
      <c r="B1368" s="438" t="s">
        <v>2163</v>
      </c>
      <c r="C1368" s="438" t="s">
        <v>174</v>
      </c>
      <c r="D1368" s="438" t="s">
        <v>118</v>
      </c>
      <c r="E1368" s="342">
        <v>1000</v>
      </c>
      <c r="F1368" s="325">
        <f t="shared" si="9"/>
        <v>1.8595856619994786</v>
      </c>
      <c r="G1368" s="447">
        <v>537.75419999999997</v>
      </c>
      <c r="H1368" s="438" t="s">
        <v>583</v>
      </c>
      <c r="I1368" s="129" t="s">
        <v>2164</v>
      </c>
      <c r="J1368" s="129" t="s">
        <v>98</v>
      </c>
      <c r="K1368" s="129" t="s">
        <v>2312</v>
      </c>
      <c r="L1368" s="147" t="s">
        <v>155</v>
      </c>
      <c r="M1368" s="129"/>
      <c r="N1368" s="129"/>
      <c r="O1368" s="129"/>
    </row>
    <row r="1369" spans="1:17" ht="15.6" hidden="1">
      <c r="A1369" s="437">
        <v>45869</v>
      </c>
      <c r="B1369" s="438" t="s">
        <v>2183</v>
      </c>
      <c r="C1369" s="438" t="s">
        <v>152</v>
      </c>
      <c r="D1369" s="438" t="s">
        <v>117</v>
      </c>
      <c r="E1369" s="342">
        <v>5000</v>
      </c>
      <c r="F1369" s="325">
        <f t="shared" si="9"/>
        <v>9.2979283099973937</v>
      </c>
      <c r="G1369" s="447">
        <v>537.75419999999997</v>
      </c>
      <c r="H1369" s="438" t="s">
        <v>190</v>
      </c>
      <c r="I1369" s="129" t="s">
        <v>2187</v>
      </c>
      <c r="J1369" s="129" t="s">
        <v>98</v>
      </c>
      <c r="K1369" s="129" t="s">
        <v>2312</v>
      </c>
      <c r="L1369" s="147" t="s">
        <v>155</v>
      </c>
      <c r="M1369" s="129"/>
      <c r="N1369" s="129"/>
      <c r="O1369" s="129"/>
    </row>
    <row r="1370" spans="1:17" ht="15.6" hidden="1">
      <c r="A1370" s="437">
        <v>45869</v>
      </c>
      <c r="B1370" s="184" t="s">
        <v>2197</v>
      </c>
      <c r="C1370" s="184" t="s">
        <v>152</v>
      </c>
      <c r="D1370" s="184" t="s">
        <v>117</v>
      </c>
      <c r="E1370" s="342">
        <v>5000</v>
      </c>
      <c r="F1370" s="325">
        <f t="shared" si="9"/>
        <v>9.2979283099973937</v>
      </c>
      <c r="G1370" s="447">
        <v>537.75419999999997</v>
      </c>
      <c r="H1370" s="184" t="s">
        <v>193</v>
      </c>
      <c r="I1370" s="184" t="s">
        <v>2203</v>
      </c>
      <c r="J1370" s="129" t="s">
        <v>98</v>
      </c>
      <c r="K1370" s="129" t="s">
        <v>2312</v>
      </c>
      <c r="L1370" s="147" t="s">
        <v>155</v>
      </c>
      <c r="M1370" s="129"/>
      <c r="N1370" s="129"/>
      <c r="O1370" s="129"/>
    </row>
    <row r="1371" spans="1:17" ht="15.6" hidden="1">
      <c r="A1371" s="437">
        <v>45869</v>
      </c>
      <c r="B1371" s="184" t="s">
        <v>2198</v>
      </c>
      <c r="C1371" s="184" t="s">
        <v>174</v>
      </c>
      <c r="D1371" s="184" t="s">
        <v>117</v>
      </c>
      <c r="E1371" s="342">
        <v>1000</v>
      </c>
      <c r="F1371" s="325">
        <f t="shared" si="9"/>
        <v>1.8595856619994786</v>
      </c>
      <c r="G1371" s="447">
        <v>537.75419999999997</v>
      </c>
      <c r="H1371" s="184" t="s">
        <v>193</v>
      </c>
      <c r="I1371" s="184" t="s">
        <v>2200</v>
      </c>
      <c r="J1371" s="129" t="s">
        <v>98</v>
      </c>
      <c r="K1371" s="129" t="s">
        <v>2312</v>
      </c>
      <c r="L1371" s="147" t="s">
        <v>155</v>
      </c>
      <c r="M1371" s="129"/>
      <c r="N1371" s="129"/>
      <c r="O1371" s="129"/>
    </row>
    <row r="1372" spans="1:17" ht="15.6" hidden="1">
      <c r="A1372" s="437">
        <v>45869</v>
      </c>
      <c r="B1372" s="184" t="s">
        <v>2199</v>
      </c>
      <c r="C1372" s="249" t="s">
        <v>174</v>
      </c>
      <c r="D1372" s="184" t="s">
        <v>117</v>
      </c>
      <c r="E1372" s="342">
        <v>1000</v>
      </c>
      <c r="F1372" s="325">
        <f t="shared" si="9"/>
        <v>1.8595856619994786</v>
      </c>
      <c r="G1372" s="447">
        <v>537.75419999999997</v>
      </c>
      <c r="H1372" s="184" t="s">
        <v>193</v>
      </c>
      <c r="I1372" s="184" t="s">
        <v>2200</v>
      </c>
      <c r="J1372" s="129" t="s">
        <v>98</v>
      </c>
      <c r="K1372" s="129" t="s">
        <v>2312</v>
      </c>
      <c r="L1372" s="147" t="s">
        <v>155</v>
      </c>
      <c r="M1372" s="129"/>
      <c r="N1372" s="129"/>
      <c r="O1372" s="129"/>
    </row>
    <row r="1373" spans="1:17" ht="15.6" hidden="1">
      <c r="A1373" s="437">
        <v>45869</v>
      </c>
      <c r="B1373" s="252" t="s">
        <v>2323</v>
      </c>
      <c r="C1373" s="438" t="s">
        <v>152</v>
      </c>
      <c r="D1373" s="438" t="s">
        <v>117</v>
      </c>
      <c r="E1373" s="438">
        <v>5000</v>
      </c>
      <c r="F1373" s="325">
        <f t="shared" si="9"/>
        <v>9.2979283099973937</v>
      </c>
      <c r="G1373" s="447">
        <v>537.75419999999997</v>
      </c>
      <c r="H1373" s="438" t="s">
        <v>187</v>
      </c>
      <c r="I1373" s="129" t="s">
        <v>2240</v>
      </c>
      <c r="J1373" s="129" t="s">
        <v>98</v>
      </c>
      <c r="K1373" s="129" t="s">
        <v>2312</v>
      </c>
      <c r="L1373" s="147" t="s">
        <v>155</v>
      </c>
      <c r="M1373" s="129"/>
      <c r="N1373" s="129"/>
      <c r="O1373" s="129"/>
    </row>
    <row r="1374" spans="1:17" ht="15.6">
      <c r="A1374" s="534">
        <v>45870</v>
      </c>
      <c r="B1374" s="517" t="s">
        <v>2445</v>
      </c>
      <c r="C1374" s="308" t="s">
        <v>174</v>
      </c>
      <c r="D1374" s="308" t="s">
        <v>119</v>
      </c>
      <c r="E1374" s="517">
        <v>1000</v>
      </c>
      <c r="F1374" s="325">
        <f t="shared" ref="F1374:F1405" si="10">E1374/G1374</f>
        <v>1.7827155035636482</v>
      </c>
      <c r="G1374" s="326">
        <v>560.94200000000001</v>
      </c>
      <c r="H1374" s="524" t="s">
        <v>153</v>
      </c>
      <c r="I1374" s="525" t="s">
        <v>2494</v>
      </c>
      <c r="J1374" s="182" t="s">
        <v>98</v>
      </c>
      <c r="K1374" s="129" t="s">
        <v>1902</v>
      </c>
      <c r="L1374" s="182" t="s">
        <v>155</v>
      </c>
      <c r="M1374" s="129"/>
      <c r="N1374" s="129"/>
      <c r="O1374" s="450"/>
      <c r="P1374" s="450"/>
      <c r="Q1374" s="450"/>
    </row>
    <row r="1375" spans="1:17" ht="15.6">
      <c r="A1375" s="534">
        <v>45870</v>
      </c>
      <c r="B1375" s="517" t="s">
        <v>2100</v>
      </c>
      <c r="C1375" s="308" t="s">
        <v>174</v>
      </c>
      <c r="D1375" s="308" t="s">
        <v>119</v>
      </c>
      <c r="E1375" s="517">
        <v>1000</v>
      </c>
      <c r="F1375" s="325">
        <f t="shared" si="10"/>
        <v>1.7827155035636482</v>
      </c>
      <c r="G1375" s="326">
        <v>560.94200000000001</v>
      </c>
      <c r="H1375" s="524" t="s">
        <v>153</v>
      </c>
      <c r="I1375" s="525" t="s">
        <v>2494</v>
      </c>
      <c r="J1375" s="182" t="s">
        <v>98</v>
      </c>
      <c r="K1375" s="129" t="s">
        <v>1902</v>
      </c>
      <c r="L1375" s="182" t="s">
        <v>155</v>
      </c>
      <c r="M1375" s="129"/>
      <c r="N1375" s="129"/>
      <c r="O1375" s="450"/>
      <c r="P1375" s="450"/>
      <c r="Q1375" s="450"/>
    </row>
    <row r="1376" spans="1:17" ht="15.6">
      <c r="A1376" s="504">
        <v>45870</v>
      </c>
      <c r="B1376" s="182" t="s">
        <v>2500</v>
      </c>
      <c r="C1376" s="182" t="s">
        <v>174</v>
      </c>
      <c r="D1376" s="182" t="s">
        <v>118</v>
      </c>
      <c r="E1376" s="435">
        <v>1000</v>
      </c>
      <c r="F1376" s="325">
        <f t="shared" si="10"/>
        <v>1.7827155035636482</v>
      </c>
      <c r="G1376" s="326">
        <v>560.94200000000001</v>
      </c>
      <c r="H1376" s="182" t="s">
        <v>583</v>
      </c>
      <c r="I1376" s="182" t="s">
        <v>2536</v>
      </c>
      <c r="J1376" s="182" t="s">
        <v>98</v>
      </c>
      <c r="K1376" s="129" t="s">
        <v>1902</v>
      </c>
      <c r="L1376" s="182" t="s">
        <v>155</v>
      </c>
      <c r="M1376" s="129"/>
      <c r="N1376" s="129"/>
      <c r="O1376" s="450"/>
      <c r="P1376" s="450"/>
      <c r="Q1376" s="450"/>
    </row>
    <row r="1377" spans="1:17" ht="15.6">
      <c r="A1377" s="504">
        <v>45870</v>
      </c>
      <c r="B1377" s="182" t="s">
        <v>2501</v>
      </c>
      <c r="C1377" s="182" t="s">
        <v>174</v>
      </c>
      <c r="D1377" s="182" t="s">
        <v>118</v>
      </c>
      <c r="E1377" s="435">
        <v>1000</v>
      </c>
      <c r="F1377" s="325">
        <f t="shared" si="10"/>
        <v>1.7827155035636482</v>
      </c>
      <c r="G1377" s="326">
        <v>560.94200000000001</v>
      </c>
      <c r="H1377" s="182" t="s">
        <v>583</v>
      </c>
      <c r="I1377" s="182" t="s">
        <v>2536</v>
      </c>
      <c r="J1377" s="182" t="s">
        <v>98</v>
      </c>
      <c r="K1377" s="129" t="s">
        <v>1902</v>
      </c>
      <c r="L1377" s="182" t="s">
        <v>155</v>
      </c>
      <c r="M1377" s="129"/>
      <c r="N1377" s="129"/>
      <c r="O1377" s="450"/>
      <c r="P1377" s="450"/>
      <c r="Q1377" s="450"/>
    </row>
    <row r="1378" spans="1:17" ht="15.6">
      <c r="A1378" s="508">
        <v>45870</v>
      </c>
      <c r="B1378" s="367" t="s">
        <v>2932</v>
      </c>
      <c r="C1378" s="182" t="s">
        <v>126</v>
      </c>
      <c r="D1378" s="439" t="s">
        <v>118</v>
      </c>
      <c r="E1378" s="435">
        <v>500000</v>
      </c>
      <c r="F1378" s="325">
        <f t="shared" si="10"/>
        <v>891.35775178182416</v>
      </c>
      <c r="G1378" s="326">
        <v>560.94200000000001</v>
      </c>
      <c r="H1378" s="182" t="s">
        <v>148</v>
      </c>
      <c r="I1378" s="182" t="s">
        <v>2909</v>
      </c>
      <c r="J1378" s="182" t="s">
        <v>98</v>
      </c>
      <c r="K1378" s="129" t="s">
        <v>1902</v>
      </c>
      <c r="L1378" s="182" t="s">
        <v>155</v>
      </c>
      <c r="M1378" s="129"/>
      <c r="N1378" s="129"/>
      <c r="O1378" s="450"/>
      <c r="P1378" s="450"/>
      <c r="Q1378" s="450"/>
    </row>
    <row r="1379" spans="1:17" ht="15.6">
      <c r="A1379" s="535">
        <v>45873</v>
      </c>
      <c r="B1379" s="517" t="s">
        <v>2099</v>
      </c>
      <c r="C1379" s="308" t="s">
        <v>174</v>
      </c>
      <c r="D1379" s="308" t="s">
        <v>119</v>
      </c>
      <c r="E1379" s="517">
        <v>1000</v>
      </c>
      <c r="F1379" s="325">
        <f t="shared" si="10"/>
        <v>1.7827155035636482</v>
      </c>
      <c r="G1379" s="326">
        <v>560.94200000000001</v>
      </c>
      <c r="H1379" s="524" t="s">
        <v>153</v>
      </c>
      <c r="I1379" s="525" t="s">
        <v>2494</v>
      </c>
      <c r="J1379" s="182" t="s">
        <v>98</v>
      </c>
      <c r="K1379" s="129" t="s">
        <v>1902</v>
      </c>
      <c r="L1379" s="182" t="s">
        <v>155</v>
      </c>
      <c r="M1379" s="129"/>
      <c r="N1379" s="129"/>
      <c r="O1379" s="450"/>
      <c r="P1379" s="450"/>
      <c r="Q1379" s="450"/>
    </row>
    <row r="1380" spans="1:17" ht="15.6">
      <c r="A1380" s="535">
        <v>45873</v>
      </c>
      <c r="B1380" s="517" t="s">
        <v>2446</v>
      </c>
      <c r="C1380" s="308" t="s">
        <v>174</v>
      </c>
      <c r="D1380" s="308" t="s">
        <v>119</v>
      </c>
      <c r="E1380" s="517">
        <v>1000</v>
      </c>
      <c r="F1380" s="325">
        <f t="shared" si="10"/>
        <v>1.7827155035636482</v>
      </c>
      <c r="G1380" s="326">
        <v>560.94200000000001</v>
      </c>
      <c r="H1380" s="524" t="s">
        <v>153</v>
      </c>
      <c r="I1380" s="525" t="s">
        <v>2494</v>
      </c>
      <c r="J1380" s="182" t="s">
        <v>98</v>
      </c>
      <c r="K1380" s="129" t="s">
        <v>1902</v>
      </c>
      <c r="L1380" s="182" t="s">
        <v>155</v>
      </c>
      <c r="M1380" s="129"/>
      <c r="N1380" s="129"/>
      <c r="O1380" s="450"/>
      <c r="P1380" s="450"/>
      <c r="Q1380" s="450"/>
    </row>
    <row r="1381" spans="1:17" ht="15.6">
      <c r="A1381" s="508">
        <v>45873</v>
      </c>
      <c r="B1381" s="367" t="s">
        <v>2886</v>
      </c>
      <c r="C1381" s="439" t="s">
        <v>127</v>
      </c>
      <c r="D1381" s="444" t="s">
        <v>121</v>
      </c>
      <c r="E1381" s="435">
        <v>159677</v>
      </c>
      <c r="F1381" s="325">
        <f t="shared" si="10"/>
        <v>284.65866346253267</v>
      </c>
      <c r="G1381" s="326">
        <v>560.94200000000001</v>
      </c>
      <c r="H1381" s="182" t="s">
        <v>148</v>
      </c>
      <c r="I1381" s="182" t="s">
        <v>2910</v>
      </c>
      <c r="J1381" s="182" t="s">
        <v>98</v>
      </c>
      <c r="K1381" s="129" t="s">
        <v>1902</v>
      </c>
      <c r="L1381" s="182" t="s">
        <v>155</v>
      </c>
      <c r="M1381" s="129"/>
      <c r="N1381" s="129"/>
      <c r="O1381" s="450"/>
      <c r="P1381" s="450"/>
      <c r="Q1381" s="450"/>
    </row>
    <row r="1382" spans="1:17" ht="15.6">
      <c r="A1382" s="535">
        <v>45874</v>
      </c>
      <c r="B1382" s="517" t="s">
        <v>2099</v>
      </c>
      <c r="C1382" s="308" t="s">
        <v>174</v>
      </c>
      <c r="D1382" s="308" t="s">
        <v>119</v>
      </c>
      <c r="E1382" s="517">
        <v>1000</v>
      </c>
      <c r="F1382" s="325">
        <f t="shared" si="10"/>
        <v>1.7827155035636482</v>
      </c>
      <c r="G1382" s="326">
        <v>560.94200000000001</v>
      </c>
      <c r="H1382" s="524" t="s">
        <v>153</v>
      </c>
      <c r="I1382" s="525" t="s">
        <v>2494</v>
      </c>
      <c r="J1382" s="182" t="s">
        <v>98</v>
      </c>
      <c r="K1382" s="129" t="s">
        <v>1902</v>
      </c>
      <c r="L1382" s="182" t="s">
        <v>155</v>
      </c>
      <c r="M1382" s="129"/>
      <c r="N1382" s="129"/>
      <c r="O1382" s="450"/>
      <c r="P1382" s="450"/>
      <c r="Q1382" s="450"/>
    </row>
    <row r="1383" spans="1:17" ht="15.6">
      <c r="A1383" s="535">
        <v>45874</v>
      </c>
      <c r="B1383" s="517" t="s">
        <v>2100</v>
      </c>
      <c r="C1383" s="308" t="s">
        <v>174</v>
      </c>
      <c r="D1383" s="308" t="s">
        <v>119</v>
      </c>
      <c r="E1383" s="517">
        <v>1000</v>
      </c>
      <c r="F1383" s="325">
        <f t="shared" si="10"/>
        <v>1.7827155035636482</v>
      </c>
      <c r="G1383" s="326">
        <v>560.94200000000001</v>
      </c>
      <c r="H1383" s="524" t="s">
        <v>153</v>
      </c>
      <c r="I1383" s="525" t="s">
        <v>2494</v>
      </c>
      <c r="J1383" s="182" t="s">
        <v>98</v>
      </c>
      <c r="K1383" s="129" t="s">
        <v>1902</v>
      </c>
      <c r="L1383" s="182" t="s">
        <v>155</v>
      </c>
      <c r="M1383" s="129"/>
      <c r="N1383" s="129"/>
      <c r="O1383" s="450"/>
      <c r="P1383" s="450"/>
      <c r="Q1383" s="450"/>
    </row>
    <row r="1384" spans="1:17" ht="15.6">
      <c r="A1384" s="504">
        <v>45874</v>
      </c>
      <c r="B1384" s="182" t="s">
        <v>2502</v>
      </c>
      <c r="C1384" s="182" t="s">
        <v>174</v>
      </c>
      <c r="D1384" s="182" t="s">
        <v>118</v>
      </c>
      <c r="E1384" s="435">
        <v>1000</v>
      </c>
      <c r="F1384" s="325">
        <f t="shared" si="10"/>
        <v>1.7827155035636482</v>
      </c>
      <c r="G1384" s="326">
        <v>560.94200000000001</v>
      </c>
      <c r="H1384" s="182" t="s">
        <v>583</v>
      </c>
      <c r="I1384" s="182" t="s">
        <v>2536</v>
      </c>
      <c r="J1384" s="182" t="s">
        <v>98</v>
      </c>
      <c r="K1384" s="129" t="s">
        <v>1902</v>
      </c>
      <c r="L1384" s="182" t="s">
        <v>155</v>
      </c>
      <c r="M1384" s="129"/>
      <c r="N1384" s="129"/>
      <c r="O1384" s="450"/>
      <c r="P1384" s="450"/>
      <c r="Q1384" s="450"/>
    </row>
    <row r="1385" spans="1:17" ht="15.6">
      <c r="A1385" s="504">
        <v>45874</v>
      </c>
      <c r="B1385" s="182" t="s">
        <v>2503</v>
      </c>
      <c r="C1385" s="182" t="s">
        <v>174</v>
      </c>
      <c r="D1385" s="182" t="s">
        <v>118</v>
      </c>
      <c r="E1385" s="435">
        <v>1000</v>
      </c>
      <c r="F1385" s="325">
        <f t="shared" si="10"/>
        <v>1.7827155035636482</v>
      </c>
      <c r="G1385" s="326">
        <v>560.94200000000001</v>
      </c>
      <c r="H1385" s="182" t="s">
        <v>583</v>
      </c>
      <c r="I1385" s="182" t="s">
        <v>2536</v>
      </c>
      <c r="J1385" s="182" t="s">
        <v>98</v>
      </c>
      <c r="K1385" s="129" t="s">
        <v>1902</v>
      </c>
      <c r="L1385" s="182" t="s">
        <v>155</v>
      </c>
      <c r="M1385" s="129"/>
      <c r="N1385" s="129"/>
      <c r="O1385" s="450"/>
      <c r="P1385" s="450"/>
      <c r="Q1385" s="450"/>
    </row>
    <row r="1386" spans="1:17" ht="15.6">
      <c r="A1386" s="535">
        <v>45875</v>
      </c>
      <c r="B1386" s="517" t="s">
        <v>2099</v>
      </c>
      <c r="C1386" s="308" t="s">
        <v>174</v>
      </c>
      <c r="D1386" s="308" t="s">
        <v>119</v>
      </c>
      <c r="E1386" s="517">
        <v>1000</v>
      </c>
      <c r="F1386" s="325">
        <f t="shared" si="10"/>
        <v>1.7827155035636482</v>
      </c>
      <c r="G1386" s="326">
        <v>560.94200000000001</v>
      </c>
      <c r="H1386" s="524" t="s">
        <v>153</v>
      </c>
      <c r="I1386" s="525" t="s">
        <v>2494</v>
      </c>
      <c r="J1386" s="182" t="s">
        <v>98</v>
      </c>
      <c r="K1386" s="129" t="s">
        <v>1902</v>
      </c>
      <c r="L1386" s="182" t="s">
        <v>155</v>
      </c>
      <c r="M1386" s="147"/>
      <c r="N1386" s="147"/>
      <c r="O1386" s="450"/>
      <c r="P1386" s="450"/>
      <c r="Q1386" s="450"/>
    </row>
    <row r="1387" spans="1:17" ht="15.6">
      <c r="A1387" s="535">
        <v>45875</v>
      </c>
      <c r="B1387" s="517" t="s">
        <v>2100</v>
      </c>
      <c r="C1387" s="308" t="s">
        <v>174</v>
      </c>
      <c r="D1387" s="308" t="s">
        <v>119</v>
      </c>
      <c r="E1387" s="517">
        <v>1000</v>
      </c>
      <c r="F1387" s="325">
        <f t="shared" si="10"/>
        <v>1.7827155035636482</v>
      </c>
      <c r="G1387" s="326">
        <v>560.94200000000001</v>
      </c>
      <c r="H1387" s="524" t="s">
        <v>153</v>
      </c>
      <c r="I1387" s="525" t="s">
        <v>2494</v>
      </c>
      <c r="J1387" s="182" t="s">
        <v>98</v>
      </c>
      <c r="K1387" s="129" t="s">
        <v>1902</v>
      </c>
      <c r="L1387" s="182" t="s">
        <v>155</v>
      </c>
      <c r="M1387" s="129"/>
      <c r="N1387" s="129"/>
      <c r="O1387" s="450"/>
      <c r="P1387" s="450"/>
      <c r="Q1387" s="450"/>
    </row>
    <row r="1388" spans="1:17" ht="15.6">
      <c r="A1388" s="504">
        <v>45875</v>
      </c>
      <c r="B1388" s="182" t="s">
        <v>2502</v>
      </c>
      <c r="C1388" s="182" t="s">
        <v>174</v>
      </c>
      <c r="D1388" s="182" t="s">
        <v>118</v>
      </c>
      <c r="E1388" s="435">
        <v>1000</v>
      </c>
      <c r="F1388" s="325">
        <f t="shared" si="10"/>
        <v>1.7827155035636482</v>
      </c>
      <c r="G1388" s="326">
        <v>560.94200000000001</v>
      </c>
      <c r="H1388" s="182" t="s">
        <v>583</v>
      </c>
      <c r="I1388" s="182" t="s">
        <v>2536</v>
      </c>
      <c r="J1388" s="182" t="s">
        <v>98</v>
      </c>
      <c r="K1388" s="129" t="s">
        <v>1902</v>
      </c>
      <c r="L1388" s="182" t="s">
        <v>155</v>
      </c>
      <c r="M1388" s="129"/>
      <c r="N1388" s="129"/>
      <c r="O1388" s="450"/>
      <c r="P1388" s="450"/>
      <c r="Q1388" s="450"/>
    </row>
    <row r="1389" spans="1:17" ht="15.6">
      <c r="A1389" s="504">
        <v>45875</v>
      </c>
      <c r="B1389" s="182" t="s">
        <v>2503</v>
      </c>
      <c r="C1389" s="182" t="s">
        <v>174</v>
      </c>
      <c r="D1389" s="182" t="s">
        <v>118</v>
      </c>
      <c r="E1389" s="435">
        <v>1000</v>
      </c>
      <c r="F1389" s="325">
        <f t="shared" si="10"/>
        <v>1.7827155035636482</v>
      </c>
      <c r="G1389" s="326">
        <v>560.94200000000001</v>
      </c>
      <c r="H1389" s="182" t="s">
        <v>583</v>
      </c>
      <c r="I1389" s="182" t="s">
        <v>2536</v>
      </c>
      <c r="J1389" s="182" t="s">
        <v>98</v>
      </c>
      <c r="K1389" s="129" t="s">
        <v>1902</v>
      </c>
      <c r="L1389" s="182" t="s">
        <v>155</v>
      </c>
      <c r="M1389" s="129"/>
      <c r="N1389" s="129"/>
      <c r="O1389" s="450"/>
      <c r="P1389" s="450"/>
      <c r="Q1389" s="450"/>
    </row>
    <row r="1390" spans="1:17" ht="15.6">
      <c r="A1390" s="535">
        <v>45876</v>
      </c>
      <c r="B1390" s="517" t="s">
        <v>2102</v>
      </c>
      <c r="C1390" s="308" t="s">
        <v>174</v>
      </c>
      <c r="D1390" s="308" t="s">
        <v>119</v>
      </c>
      <c r="E1390" s="517">
        <v>1000</v>
      </c>
      <c r="F1390" s="325">
        <f t="shared" si="10"/>
        <v>1.7827155035636482</v>
      </c>
      <c r="G1390" s="326">
        <v>560.94200000000001</v>
      </c>
      <c r="H1390" s="524" t="s">
        <v>153</v>
      </c>
      <c r="I1390" s="525" t="s">
        <v>2494</v>
      </c>
      <c r="J1390" s="182" t="s">
        <v>98</v>
      </c>
      <c r="K1390" s="129" t="s">
        <v>1902</v>
      </c>
      <c r="L1390" s="182" t="s">
        <v>155</v>
      </c>
      <c r="M1390" s="129"/>
      <c r="N1390" s="129"/>
      <c r="O1390" s="450"/>
      <c r="P1390" s="450"/>
      <c r="Q1390" s="450"/>
    </row>
    <row r="1391" spans="1:17" ht="15.6">
      <c r="A1391" s="535">
        <v>45876</v>
      </c>
      <c r="B1391" s="517" t="s">
        <v>2100</v>
      </c>
      <c r="C1391" s="308" t="s">
        <v>174</v>
      </c>
      <c r="D1391" s="308" t="s">
        <v>119</v>
      </c>
      <c r="E1391" s="517">
        <v>1000</v>
      </c>
      <c r="F1391" s="325">
        <f t="shared" si="10"/>
        <v>1.7827155035636482</v>
      </c>
      <c r="G1391" s="326">
        <v>560.94200000000001</v>
      </c>
      <c r="H1391" s="524" t="s">
        <v>153</v>
      </c>
      <c r="I1391" s="525" t="s">
        <v>2494</v>
      </c>
      <c r="J1391" s="182" t="s">
        <v>98</v>
      </c>
      <c r="K1391" s="129" t="s">
        <v>1902</v>
      </c>
      <c r="L1391" s="182" t="s">
        <v>155</v>
      </c>
      <c r="M1391" s="129"/>
      <c r="N1391" s="129"/>
      <c r="O1391" s="450"/>
      <c r="P1391" s="450"/>
      <c r="Q1391" s="450"/>
    </row>
    <row r="1392" spans="1:17" ht="15.6">
      <c r="A1392" s="535">
        <v>45876</v>
      </c>
      <c r="B1392" s="517" t="s">
        <v>2447</v>
      </c>
      <c r="C1392" s="308" t="s">
        <v>127</v>
      </c>
      <c r="D1392" s="308" t="s">
        <v>119</v>
      </c>
      <c r="E1392" s="517">
        <v>174625</v>
      </c>
      <c r="F1392" s="325">
        <f t="shared" si="10"/>
        <v>311.30669480980208</v>
      </c>
      <c r="G1392" s="326">
        <v>560.94200000000001</v>
      </c>
      <c r="H1392" s="524" t="s">
        <v>153</v>
      </c>
      <c r="I1392" s="525" t="s">
        <v>2495</v>
      </c>
      <c r="J1392" s="182" t="s">
        <v>98</v>
      </c>
      <c r="K1392" s="129" t="s">
        <v>1902</v>
      </c>
      <c r="L1392" s="182" t="s">
        <v>155</v>
      </c>
      <c r="M1392" s="129"/>
      <c r="N1392" s="129"/>
      <c r="O1392" s="450"/>
      <c r="P1392" s="450"/>
      <c r="Q1392" s="450"/>
    </row>
    <row r="1393" spans="1:17" ht="15.6">
      <c r="A1393" s="504">
        <v>45876</v>
      </c>
      <c r="B1393" s="182" t="s">
        <v>2504</v>
      </c>
      <c r="C1393" s="182" t="s">
        <v>174</v>
      </c>
      <c r="D1393" s="182" t="s">
        <v>118</v>
      </c>
      <c r="E1393" s="435">
        <v>1000</v>
      </c>
      <c r="F1393" s="325">
        <f t="shared" si="10"/>
        <v>1.7827155035636482</v>
      </c>
      <c r="G1393" s="326">
        <v>560.94200000000001</v>
      </c>
      <c r="H1393" s="182" t="s">
        <v>583</v>
      </c>
      <c r="I1393" s="182" t="s">
        <v>2536</v>
      </c>
      <c r="J1393" s="182" t="s">
        <v>98</v>
      </c>
      <c r="K1393" s="129" t="s">
        <v>1902</v>
      </c>
      <c r="L1393" s="182" t="s">
        <v>155</v>
      </c>
      <c r="M1393" s="129"/>
      <c r="N1393" s="129"/>
      <c r="O1393" s="450"/>
      <c r="P1393" s="450"/>
      <c r="Q1393" s="450"/>
    </row>
    <row r="1394" spans="1:17" ht="15.6">
      <c r="A1394" s="504">
        <v>45876</v>
      </c>
      <c r="B1394" s="182" t="s">
        <v>2505</v>
      </c>
      <c r="C1394" s="182" t="s">
        <v>174</v>
      </c>
      <c r="D1394" s="182" t="s">
        <v>118</v>
      </c>
      <c r="E1394" s="435">
        <v>1000</v>
      </c>
      <c r="F1394" s="325">
        <f t="shared" si="10"/>
        <v>1.7827155035636482</v>
      </c>
      <c r="G1394" s="326">
        <v>560.94200000000001</v>
      </c>
      <c r="H1394" s="182" t="s">
        <v>583</v>
      </c>
      <c r="I1394" s="182" t="s">
        <v>2536</v>
      </c>
      <c r="J1394" s="182" t="s">
        <v>98</v>
      </c>
      <c r="K1394" s="129" t="s">
        <v>1902</v>
      </c>
      <c r="L1394" s="182" t="s">
        <v>155</v>
      </c>
      <c r="M1394" s="129"/>
      <c r="N1394" s="129"/>
      <c r="O1394" s="450"/>
      <c r="P1394" s="450"/>
      <c r="Q1394" s="450"/>
    </row>
    <row r="1395" spans="1:17" ht="15.6">
      <c r="A1395" s="504">
        <v>45876</v>
      </c>
      <c r="B1395" s="182" t="s">
        <v>2506</v>
      </c>
      <c r="C1395" s="182" t="s">
        <v>174</v>
      </c>
      <c r="D1395" s="182" t="s">
        <v>118</v>
      </c>
      <c r="E1395" s="435">
        <v>1000</v>
      </c>
      <c r="F1395" s="325">
        <f t="shared" si="10"/>
        <v>1.7827155035636482</v>
      </c>
      <c r="G1395" s="326">
        <v>560.94200000000001</v>
      </c>
      <c r="H1395" s="182" t="s">
        <v>583</v>
      </c>
      <c r="I1395" s="182" t="s">
        <v>2536</v>
      </c>
      <c r="J1395" s="182" t="s">
        <v>98</v>
      </c>
      <c r="K1395" s="129" t="s">
        <v>1902</v>
      </c>
      <c r="L1395" s="182" t="s">
        <v>155</v>
      </c>
      <c r="M1395" s="129"/>
      <c r="N1395" s="129"/>
      <c r="O1395" s="450"/>
      <c r="P1395" s="450"/>
      <c r="Q1395" s="450"/>
    </row>
    <row r="1396" spans="1:17" ht="15.6">
      <c r="A1396" s="504">
        <v>45876</v>
      </c>
      <c r="B1396" s="182" t="s">
        <v>2507</v>
      </c>
      <c r="C1396" s="182" t="s">
        <v>174</v>
      </c>
      <c r="D1396" s="182" t="s">
        <v>118</v>
      </c>
      <c r="E1396" s="435">
        <v>1000</v>
      </c>
      <c r="F1396" s="325">
        <f t="shared" si="10"/>
        <v>1.7827155035636482</v>
      </c>
      <c r="G1396" s="326">
        <v>560.94200000000001</v>
      </c>
      <c r="H1396" s="182" t="s">
        <v>583</v>
      </c>
      <c r="I1396" s="182" t="s">
        <v>2536</v>
      </c>
      <c r="J1396" s="182" t="s">
        <v>98</v>
      </c>
      <c r="K1396" s="129" t="s">
        <v>1902</v>
      </c>
      <c r="L1396" s="182" t="s">
        <v>155</v>
      </c>
      <c r="M1396" s="343"/>
      <c r="N1396" s="343"/>
      <c r="O1396" s="450"/>
      <c r="P1396" s="450"/>
      <c r="Q1396" s="450"/>
    </row>
    <row r="1397" spans="1:17" ht="15.6">
      <c r="A1397" s="467">
        <v>45876</v>
      </c>
      <c r="B1397" s="177" t="s">
        <v>2550</v>
      </c>
      <c r="C1397" s="177" t="s">
        <v>152</v>
      </c>
      <c r="D1397" s="177" t="s">
        <v>2551</v>
      </c>
      <c r="E1397" s="177">
        <v>5000</v>
      </c>
      <c r="F1397" s="325">
        <f t="shared" si="10"/>
        <v>8.9135775178182417</v>
      </c>
      <c r="G1397" s="326">
        <v>560.94200000000001</v>
      </c>
      <c r="H1397" s="177" t="s">
        <v>184</v>
      </c>
      <c r="I1397" s="177" t="s">
        <v>2557</v>
      </c>
      <c r="J1397" s="182" t="s">
        <v>98</v>
      </c>
      <c r="K1397" s="129" t="s">
        <v>1902</v>
      </c>
      <c r="L1397" s="182" t="s">
        <v>155</v>
      </c>
      <c r="M1397" s="129"/>
      <c r="N1397" s="129"/>
      <c r="O1397" s="450"/>
      <c r="P1397" s="450"/>
      <c r="Q1397" s="450"/>
    </row>
    <row r="1398" spans="1:17" ht="15.6">
      <c r="A1398" s="505">
        <v>45876</v>
      </c>
      <c r="B1398" s="177" t="s">
        <v>2578</v>
      </c>
      <c r="C1398" s="177" t="s">
        <v>152</v>
      </c>
      <c r="D1398" s="177" t="s">
        <v>121</v>
      </c>
      <c r="E1398" s="182">
        <v>5000</v>
      </c>
      <c r="F1398" s="325">
        <f t="shared" si="10"/>
        <v>8.9135775178182417</v>
      </c>
      <c r="G1398" s="326">
        <v>560.94200000000001</v>
      </c>
      <c r="H1398" s="182" t="s">
        <v>175</v>
      </c>
      <c r="I1398" s="182" t="s">
        <v>2587</v>
      </c>
      <c r="J1398" s="182" t="s">
        <v>98</v>
      </c>
      <c r="K1398" s="129" t="s">
        <v>1902</v>
      </c>
      <c r="L1398" s="182" t="s">
        <v>155</v>
      </c>
      <c r="M1398" s="129"/>
      <c r="N1398" s="129"/>
      <c r="O1398" s="450"/>
      <c r="P1398" s="450"/>
      <c r="Q1398" s="450"/>
    </row>
    <row r="1399" spans="1:17" ht="15.6">
      <c r="A1399" s="505">
        <v>45876</v>
      </c>
      <c r="B1399" s="182" t="s">
        <v>2613</v>
      </c>
      <c r="C1399" s="182" t="s">
        <v>152</v>
      </c>
      <c r="D1399" s="182" t="s">
        <v>121</v>
      </c>
      <c r="E1399" s="182">
        <v>5000</v>
      </c>
      <c r="F1399" s="325">
        <f t="shared" si="10"/>
        <v>8.9135775178182417</v>
      </c>
      <c r="G1399" s="326">
        <v>560.94200000000001</v>
      </c>
      <c r="H1399" s="182" t="s">
        <v>317</v>
      </c>
      <c r="I1399" s="182" t="s">
        <v>2631</v>
      </c>
      <c r="J1399" s="182" t="s">
        <v>98</v>
      </c>
      <c r="K1399" s="129" t="s">
        <v>1902</v>
      </c>
      <c r="L1399" s="182" t="s">
        <v>155</v>
      </c>
      <c r="M1399" s="129"/>
      <c r="N1399" s="129"/>
      <c r="O1399" s="450"/>
      <c r="P1399" s="450"/>
      <c r="Q1399" s="450"/>
    </row>
    <row r="1400" spans="1:17" ht="15.6">
      <c r="A1400" s="505">
        <v>45876</v>
      </c>
      <c r="B1400" s="182" t="s">
        <v>2648</v>
      </c>
      <c r="C1400" s="182" t="s">
        <v>152</v>
      </c>
      <c r="D1400" s="182" t="s">
        <v>121</v>
      </c>
      <c r="E1400" s="496">
        <v>5000</v>
      </c>
      <c r="F1400" s="325">
        <f t="shared" si="10"/>
        <v>8.9135775178182417</v>
      </c>
      <c r="G1400" s="326">
        <v>560.94200000000001</v>
      </c>
      <c r="H1400" s="182" t="s">
        <v>323</v>
      </c>
      <c r="I1400" s="182" t="s">
        <v>2669</v>
      </c>
      <c r="J1400" s="182" t="s">
        <v>98</v>
      </c>
      <c r="K1400" s="129" t="s">
        <v>1902</v>
      </c>
      <c r="L1400" s="182" t="s">
        <v>155</v>
      </c>
      <c r="M1400" s="129"/>
      <c r="N1400" s="129"/>
      <c r="O1400" s="450"/>
      <c r="P1400" s="450"/>
      <c r="Q1400" s="450"/>
    </row>
    <row r="1401" spans="1:17" ht="15.6">
      <c r="A1401" s="508">
        <v>45876</v>
      </c>
      <c r="B1401" s="182" t="s">
        <v>2887</v>
      </c>
      <c r="C1401" s="182" t="s">
        <v>304</v>
      </c>
      <c r="D1401" s="439" t="s">
        <v>118</v>
      </c>
      <c r="E1401" s="435">
        <v>260000</v>
      </c>
      <c r="F1401" s="325">
        <f t="shared" si="10"/>
        <v>463.50603092654853</v>
      </c>
      <c r="G1401" s="326">
        <v>560.94200000000001</v>
      </c>
      <c r="H1401" s="182" t="s">
        <v>148</v>
      </c>
      <c r="I1401" s="182" t="s">
        <v>2911</v>
      </c>
      <c r="J1401" s="182" t="s">
        <v>98</v>
      </c>
      <c r="K1401" s="129" t="s">
        <v>1902</v>
      </c>
      <c r="L1401" s="182" t="s">
        <v>155</v>
      </c>
      <c r="M1401" s="129"/>
      <c r="N1401" s="129"/>
      <c r="O1401" s="450"/>
      <c r="P1401" s="450"/>
      <c r="Q1401" s="450"/>
    </row>
    <row r="1402" spans="1:17" ht="15.6">
      <c r="A1402" s="535">
        <v>45877</v>
      </c>
      <c r="B1402" s="517" t="s">
        <v>2099</v>
      </c>
      <c r="C1402" s="308" t="s">
        <v>174</v>
      </c>
      <c r="D1402" s="308" t="s">
        <v>119</v>
      </c>
      <c r="E1402" s="517">
        <v>1000</v>
      </c>
      <c r="F1402" s="325">
        <f t="shared" si="10"/>
        <v>1.7827155035636482</v>
      </c>
      <c r="G1402" s="326">
        <v>560.94200000000001</v>
      </c>
      <c r="H1402" s="524" t="s">
        <v>153</v>
      </c>
      <c r="I1402" s="525" t="s">
        <v>2494</v>
      </c>
      <c r="J1402" s="182" t="s">
        <v>98</v>
      </c>
      <c r="K1402" s="129" t="s">
        <v>1902</v>
      </c>
      <c r="L1402" s="182" t="s">
        <v>155</v>
      </c>
      <c r="M1402" s="129"/>
      <c r="N1402" s="129"/>
      <c r="O1402" s="450"/>
      <c r="P1402" s="450"/>
      <c r="Q1402" s="450"/>
    </row>
    <row r="1403" spans="1:17" ht="15.6">
      <c r="A1403" s="535">
        <v>45877</v>
      </c>
      <c r="B1403" s="517" t="s">
        <v>2100</v>
      </c>
      <c r="C1403" s="308" t="s">
        <v>174</v>
      </c>
      <c r="D1403" s="308" t="s">
        <v>119</v>
      </c>
      <c r="E1403" s="517">
        <v>1000</v>
      </c>
      <c r="F1403" s="325">
        <f t="shared" si="10"/>
        <v>1.7827155035636482</v>
      </c>
      <c r="G1403" s="326">
        <v>560.94200000000001</v>
      </c>
      <c r="H1403" s="524" t="s">
        <v>153</v>
      </c>
      <c r="I1403" s="525" t="s">
        <v>2494</v>
      </c>
      <c r="J1403" s="182" t="s">
        <v>98</v>
      </c>
      <c r="K1403" s="129" t="s">
        <v>1902</v>
      </c>
      <c r="L1403" s="182" t="s">
        <v>155</v>
      </c>
      <c r="M1403" s="129"/>
      <c r="N1403" s="129"/>
      <c r="O1403" s="450"/>
      <c r="P1403" s="450"/>
      <c r="Q1403" s="450"/>
    </row>
    <row r="1404" spans="1:17" ht="15.6">
      <c r="A1404" s="504">
        <v>45877</v>
      </c>
      <c r="B1404" s="182" t="s">
        <v>2502</v>
      </c>
      <c r="C1404" s="182" t="s">
        <v>174</v>
      </c>
      <c r="D1404" s="182" t="s">
        <v>118</v>
      </c>
      <c r="E1404" s="435">
        <v>1000</v>
      </c>
      <c r="F1404" s="325">
        <f t="shared" si="10"/>
        <v>1.7827155035636482</v>
      </c>
      <c r="G1404" s="326">
        <v>560.94200000000001</v>
      </c>
      <c r="H1404" s="182" t="s">
        <v>583</v>
      </c>
      <c r="I1404" s="182" t="s">
        <v>2536</v>
      </c>
      <c r="J1404" s="182" t="s">
        <v>98</v>
      </c>
      <c r="K1404" s="129" t="s">
        <v>1902</v>
      </c>
      <c r="L1404" s="182" t="s">
        <v>155</v>
      </c>
      <c r="M1404" s="129"/>
      <c r="N1404" s="129"/>
      <c r="O1404" s="450"/>
      <c r="P1404" s="450"/>
      <c r="Q1404" s="450"/>
    </row>
    <row r="1405" spans="1:17" ht="15.6">
      <c r="A1405" s="504">
        <v>45877</v>
      </c>
      <c r="B1405" s="182" t="s">
        <v>2503</v>
      </c>
      <c r="C1405" s="182" t="s">
        <v>174</v>
      </c>
      <c r="D1405" s="182" t="s">
        <v>118</v>
      </c>
      <c r="E1405" s="435">
        <v>1500</v>
      </c>
      <c r="F1405" s="325">
        <f t="shared" si="10"/>
        <v>2.6740732553454722</v>
      </c>
      <c r="G1405" s="326">
        <v>560.94200000000001</v>
      </c>
      <c r="H1405" s="182" t="s">
        <v>583</v>
      </c>
      <c r="I1405" s="182" t="s">
        <v>2536</v>
      </c>
      <c r="J1405" s="182" t="s">
        <v>98</v>
      </c>
      <c r="K1405" s="129" t="s">
        <v>1902</v>
      </c>
      <c r="L1405" s="182" t="s">
        <v>155</v>
      </c>
      <c r="M1405" s="129"/>
      <c r="N1405" s="129"/>
      <c r="O1405" s="450"/>
      <c r="P1405" s="450"/>
      <c r="Q1405" s="450"/>
    </row>
    <row r="1406" spans="1:17" ht="15.6">
      <c r="A1406" s="535">
        <v>45880</v>
      </c>
      <c r="B1406" s="517" t="s">
        <v>2099</v>
      </c>
      <c r="C1406" s="308" t="s">
        <v>174</v>
      </c>
      <c r="D1406" s="308" t="s">
        <v>119</v>
      </c>
      <c r="E1406" s="517">
        <v>1000</v>
      </c>
      <c r="F1406" s="325">
        <f t="shared" ref="F1406:F1437" si="11">E1406/G1406</f>
        <v>1.7827155035636482</v>
      </c>
      <c r="G1406" s="326">
        <v>560.94200000000001</v>
      </c>
      <c r="H1406" s="524" t="s">
        <v>153</v>
      </c>
      <c r="I1406" s="525" t="s">
        <v>2494</v>
      </c>
      <c r="J1406" s="182" t="s">
        <v>98</v>
      </c>
      <c r="K1406" s="129" t="s">
        <v>1902</v>
      </c>
      <c r="L1406" s="182" t="s">
        <v>155</v>
      </c>
      <c r="M1406" s="129"/>
      <c r="N1406" s="129"/>
      <c r="O1406" s="450"/>
      <c r="P1406" s="450"/>
      <c r="Q1406" s="450"/>
    </row>
    <row r="1407" spans="1:17" ht="15.6">
      <c r="A1407" s="535">
        <v>45880</v>
      </c>
      <c r="B1407" s="517" t="s">
        <v>2100</v>
      </c>
      <c r="C1407" s="308" t="s">
        <v>174</v>
      </c>
      <c r="D1407" s="308" t="s">
        <v>119</v>
      </c>
      <c r="E1407" s="517">
        <v>1000</v>
      </c>
      <c r="F1407" s="325">
        <f t="shared" si="11"/>
        <v>1.7827155035636482</v>
      </c>
      <c r="G1407" s="326">
        <v>560.94200000000001</v>
      </c>
      <c r="H1407" s="524" t="s">
        <v>153</v>
      </c>
      <c r="I1407" s="525" t="s">
        <v>2494</v>
      </c>
      <c r="J1407" s="182" t="s">
        <v>98</v>
      </c>
      <c r="K1407" s="129" t="s">
        <v>1902</v>
      </c>
      <c r="L1407" s="182" t="s">
        <v>155</v>
      </c>
      <c r="M1407" s="129"/>
      <c r="N1407" s="129"/>
      <c r="O1407" s="450"/>
      <c r="P1407" s="450"/>
      <c r="Q1407" s="450"/>
    </row>
    <row r="1408" spans="1:17" ht="15.6">
      <c r="A1408" s="504">
        <v>45880</v>
      </c>
      <c r="B1408" s="182" t="s">
        <v>2502</v>
      </c>
      <c r="C1408" s="182" t="s">
        <v>174</v>
      </c>
      <c r="D1408" s="182" t="s">
        <v>118</v>
      </c>
      <c r="E1408" s="435">
        <v>1500</v>
      </c>
      <c r="F1408" s="325">
        <f t="shared" si="11"/>
        <v>2.6740732553454722</v>
      </c>
      <c r="G1408" s="326">
        <v>560.94200000000001</v>
      </c>
      <c r="H1408" s="182" t="s">
        <v>583</v>
      </c>
      <c r="I1408" s="182" t="s">
        <v>2536</v>
      </c>
      <c r="J1408" s="182" t="s">
        <v>98</v>
      </c>
      <c r="K1408" s="129" t="s">
        <v>1902</v>
      </c>
      <c r="L1408" s="182" t="s">
        <v>155</v>
      </c>
      <c r="M1408" s="129"/>
      <c r="N1408" s="129"/>
      <c r="O1408" s="450"/>
      <c r="P1408" s="450"/>
      <c r="Q1408" s="450"/>
    </row>
    <row r="1409" spans="1:17" ht="15.6">
      <c r="A1409" s="504">
        <v>45880</v>
      </c>
      <c r="B1409" s="182" t="s">
        <v>2503</v>
      </c>
      <c r="C1409" s="182" t="s">
        <v>174</v>
      </c>
      <c r="D1409" s="182" t="s">
        <v>118</v>
      </c>
      <c r="E1409" s="435">
        <v>2000</v>
      </c>
      <c r="F1409" s="325">
        <f t="shared" si="11"/>
        <v>3.5654310071272963</v>
      </c>
      <c r="G1409" s="326">
        <v>560.94200000000001</v>
      </c>
      <c r="H1409" s="182" t="s">
        <v>583</v>
      </c>
      <c r="I1409" s="182" t="s">
        <v>2536</v>
      </c>
      <c r="J1409" s="182" t="s">
        <v>98</v>
      </c>
      <c r="K1409" s="129" t="s">
        <v>1902</v>
      </c>
      <c r="L1409" s="182" t="s">
        <v>155</v>
      </c>
      <c r="M1409" s="129"/>
      <c r="N1409" s="129"/>
      <c r="O1409" s="450"/>
      <c r="P1409" s="450"/>
      <c r="Q1409" s="450"/>
    </row>
    <row r="1410" spans="1:17" ht="15.6">
      <c r="A1410" s="467">
        <v>45880</v>
      </c>
      <c r="B1410" s="177" t="s">
        <v>2541</v>
      </c>
      <c r="C1410" s="177" t="s">
        <v>174</v>
      </c>
      <c r="D1410" s="177" t="s">
        <v>121</v>
      </c>
      <c r="E1410" s="177">
        <v>1000</v>
      </c>
      <c r="F1410" s="325">
        <f t="shared" si="11"/>
        <v>1.7827155035636482</v>
      </c>
      <c r="G1410" s="326">
        <v>560.94200000000001</v>
      </c>
      <c r="H1410" s="177" t="s">
        <v>184</v>
      </c>
      <c r="I1410" s="177" t="s">
        <v>2558</v>
      </c>
      <c r="J1410" s="182" t="s">
        <v>98</v>
      </c>
      <c r="K1410" s="129" t="s">
        <v>1902</v>
      </c>
      <c r="L1410" s="182" t="s">
        <v>155</v>
      </c>
      <c r="M1410" s="129"/>
      <c r="N1410" s="129"/>
      <c r="O1410" s="450"/>
      <c r="P1410" s="450"/>
      <c r="Q1410" s="450"/>
    </row>
    <row r="1411" spans="1:17" ht="15.6">
      <c r="A1411" s="467">
        <v>45880</v>
      </c>
      <c r="B1411" s="177" t="s">
        <v>2542</v>
      </c>
      <c r="C1411" s="177" t="s">
        <v>174</v>
      </c>
      <c r="D1411" s="177" t="s">
        <v>121</v>
      </c>
      <c r="E1411" s="177">
        <v>1000</v>
      </c>
      <c r="F1411" s="325">
        <f t="shared" si="11"/>
        <v>1.7827155035636482</v>
      </c>
      <c r="G1411" s="326">
        <v>560.94200000000001</v>
      </c>
      <c r="H1411" s="177" t="s">
        <v>184</v>
      </c>
      <c r="I1411" s="177" t="s">
        <v>2558</v>
      </c>
      <c r="J1411" s="182" t="s">
        <v>98</v>
      </c>
      <c r="K1411" s="129" t="s">
        <v>1902</v>
      </c>
      <c r="L1411" s="182" t="s">
        <v>155</v>
      </c>
      <c r="M1411" s="129"/>
      <c r="N1411" s="129"/>
      <c r="O1411" s="450"/>
      <c r="P1411" s="450"/>
      <c r="Q1411" s="450"/>
    </row>
    <row r="1412" spans="1:17" ht="15.6">
      <c r="A1412" s="467">
        <v>45880</v>
      </c>
      <c r="B1412" s="177" t="s">
        <v>2543</v>
      </c>
      <c r="C1412" s="177" t="s">
        <v>174</v>
      </c>
      <c r="D1412" s="177" t="s">
        <v>121</v>
      </c>
      <c r="E1412" s="177">
        <v>1000</v>
      </c>
      <c r="F1412" s="325">
        <f t="shared" si="11"/>
        <v>1.7827155035636482</v>
      </c>
      <c r="G1412" s="326">
        <v>560.94200000000001</v>
      </c>
      <c r="H1412" s="177" t="s">
        <v>184</v>
      </c>
      <c r="I1412" s="177" t="s">
        <v>2558</v>
      </c>
      <c r="J1412" s="182" t="s">
        <v>98</v>
      </c>
      <c r="K1412" s="129" t="s">
        <v>1902</v>
      </c>
      <c r="L1412" s="182" t="s">
        <v>155</v>
      </c>
      <c r="M1412" s="129"/>
      <c r="N1412" s="129"/>
      <c r="O1412" s="450"/>
      <c r="P1412" s="450"/>
      <c r="Q1412" s="450"/>
    </row>
    <row r="1413" spans="1:17" ht="15.6">
      <c r="A1413" s="467">
        <v>45880</v>
      </c>
      <c r="B1413" s="177" t="s">
        <v>2544</v>
      </c>
      <c r="C1413" s="177" t="s">
        <v>174</v>
      </c>
      <c r="D1413" s="177" t="s">
        <v>121</v>
      </c>
      <c r="E1413" s="177">
        <v>1500</v>
      </c>
      <c r="F1413" s="325">
        <f t="shared" si="11"/>
        <v>2.6740732553454722</v>
      </c>
      <c r="G1413" s="326">
        <v>560.94200000000001</v>
      </c>
      <c r="H1413" s="177" t="s">
        <v>184</v>
      </c>
      <c r="I1413" s="177" t="s">
        <v>2558</v>
      </c>
      <c r="J1413" s="182" t="s">
        <v>98</v>
      </c>
      <c r="K1413" s="129" t="s">
        <v>1902</v>
      </c>
      <c r="L1413" s="182" t="s">
        <v>155</v>
      </c>
      <c r="M1413" s="129"/>
      <c r="N1413" s="129"/>
      <c r="O1413" s="450"/>
      <c r="P1413" s="450"/>
      <c r="Q1413" s="450"/>
    </row>
    <row r="1414" spans="1:17" ht="15.6">
      <c r="A1414" s="467">
        <v>45880</v>
      </c>
      <c r="B1414" s="177" t="s">
        <v>2552</v>
      </c>
      <c r="C1414" s="177" t="s">
        <v>368</v>
      </c>
      <c r="D1414" s="177" t="s">
        <v>121</v>
      </c>
      <c r="E1414" s="177">
        <v>1000</v>
      </c>
      <c r="F1414" s="325">
        <f t="shared" si="11"/>
        <v>1.7827155035636482</v>
      </c>
      <c r="G1414" s="326">
        <v>560.94200000000001</v>
      </c>
      <c r="H1414" s="177" t="s">
        <v>184</v>
      </c>
      <c r="I1414" s="177" t="s">
        <v>2559</v>
      </c>
      <c r="J1414" s="182" t="s">
        <v>98</v>
      </c>
      <c r="K1414" s="129" t="s">
        <v>1902</v>
      </c>
      <c r="L1414" s="182" t="s">
        <v>155</v>
      </c>
      <c r="M1414" s="129"/>
      <c r="N1414" s="129"/>
      <c r="O1414" s="450"/>
      <c r="P1414" s="450"/>
      <c r="Q1414" s="450"/>
    </row>
    <row r="1415" spans="1:17" ht="15.6">
      <c r="A1415" s="505">
        <v>45880</v>
      </c>
      <c r="B1415" s="182" t="s">
        <v>3122</v>
      </c>
      <c r="C1415" s="182" t="s">
        <v>174</v>
      </c>
      <c r="D1415" s="177" t="s">
        <v>121</v>
      </c>
      <c r="E1415" s="182">
        <v>1000</v>
      </c>
      <c r="F1415" s="325">
        <f t="shared" si="11"/>
        <v>1.7827155035636482</v>
      </c>
      <c r="G1415" s="326">
        <v>560.94200000000001</v>
      </c>
      <c r="H1415" s="182" t="s">
        <v>175</v>
      </c>
      <c r="I1415" s="182" t="s">
        <v>2588</v>
      </c>
      <c r="J1415" s="182" t="s">
        <v>98</v>
      </c>
      <c r="K1415" s="129" t="s">
        <v>1902</v>
      </c>
      <c r="L1415" s="182" t="s">
        <v>155</v>
      </c>
      <c r="M1415" s="129"/>
      <c r="N1415" s="129"/>
      <c r="O1415" s="450"/>
      <c r="P1415" s="450"/>
      <c r="Q1415" s="450"/>
    </row>
    <row r="1416" spans="1:17" ht="15.6">
      <c r="A1416" s="505">
        <v>45880</v>
      </c>
      <c r="B1416" s="182" t="s">
        <v>3078</v>
      </c>
      <c r="C1416" s="182" t="s">
        <v>174</v>
      </c>
      <c r="D1416" s="177" t="s">
        <v>121</v>
      </c>
      <c r="E1416" s="182">
        <v>1000</v>
      </c>
      <c r="F1416" s="325">
        <f t="shared" si="11"/>
        <v>1.7827155035636482</v>
      </c>
      <c r="G1416" s="326">
        <v>560.94200000000001</v>
      </c>
      <c r="H1416" s="182" t="s">
        <v>175</v>
      </c>
      <c r="I1416" s="182" t="s">
        <v>2588</v>
      </c>
      <c r="J1416" s="182" t="s">
        <v>98</v>
      </c>
      <c r="K1416" s="129" t="s">
        <v>1902</v>
      </c>
      <c r="L1416" s="182" t="s">
        <v>155</v>
      </c>
      <c r="M1416" s="129"/>
      <c r="N1416" s="129"/>
      <c r="O1416" s="450"/>
      <c r="P1416" s="450"/>
      <c r="Q1416" s="450"/>
    </row>
    <row r="1417" spans="1:17" ht="15.6">
      <c r="A1417" s="505">
        <v>45880</v>
      </c>
      <c r="B1417" s="182" t="s">
        <v>3123</v>
      </c>
      <c r="C1417" s="182" t="s">
        <v>174</v>
      </c>
      <c r="D1417" s="177" t="s">
        <v>121</v>
      </c>
      <c r="E1417" s="182">
        <v>1000</v>
      </c>
      <c r="F1417" s="325">
        <f t="shared" si="11"/>
        <v>1.7827155035636482</v>
      </c>
      <c r="G1417" s="326">
        <v>560.94200000000001</v>
      </c>
      <c r="H1417" s="182" t="s">
        <v>175</v>
      </c>
      <c r="I1417" s="182" t="s">
        <v>2588</v>
      </c>
      <c r="J1417" s="182" t="s">
        <v>98</v>
      </c>
      <c r="K1417" s="129" t="s">
        <v>1902</v>
      </c>
      <c r="L1417" s="182" t="s">
        <v>155</v>
      </c>
      <c r="M1417" s="129"/>
      <c r="N1417" s="129"/>
      <c r="O1417" s="450"/>
      <c r="P1417" s="450"/>
      <c r="Q1417" s="450"/>
    </row>
    <row r="1418" spans="1:17" ht="15.6">
      <c r="A1418" s="505">
        <v>45880</v>
      </c>
      <c r="B1418" s="182" t="s">
        <v>2997</v>
      </c>
      <c r="C1418" s="182" t="s">
        <v>174</v>
      </c>
      <c r="D1418" s="182" t="s">
        <v>121</v>
      </c>
      <c r="E1418" s="182">
        <v>1000</v>
      </c>
      <c r="F1418" s="325">
        <f t="shared" si="11"/>
        <v>1.7827155035636482</v>
      </c>
      <c r="G1418" s="326">
        <v>560.94200000000001</v>
      </c>
      <c r="H1418" s="182" t="s">
        <v>317</v>
      </c>
      <c r="I1418" s="182" t="s">
        <v>2632</v>
      </c>
      <c r="J1418" s="182" t="s">
        <v>98</v>
      </c>
      <c r="K1418" s="129" t="s">
        <v>1902</v>
      </c>
      <c r="L1418" s="182" t="s">
        <v>155</v>
      </c>
      <c r="M1418" s="129"/>
      <c r="N1418" s="129"/>
      <c r="O1418" s="450"/>
      <c r="P1418" s="450"/>
      <c r="Q1418" s="450"/>
    </row>
    <row r="1419" spans="1:17" ht="15.6">
      <c r="A1419" s="505">
        <v>45880</v>
      </c>
      <c r="B1419" s="182" t="s">
        <v>3124</v>
      </c>
      <c r="C1419" s="182" t="s">
        <v>174</v>
      </c>
      <c r="D1419" s="182" t="s">
        <v>121</v>
      </c>
      <c r="E1419" s="182">
        <v>2000</v>
      </c>
      <c r="F1419" s="325">
        <f t="shared" si="11"/>
        <v>3.5654310071272963</v>
      </c>
      <c r="G1419" s="326">
        <v>560.94200000000001</v>
      </c>
      <c r="H1419" s="182" t="s">
        <v>317</v>
      </c>
      <c r="I1419" s="182" t="s">
        <v>2632</v>
      </c>
      <c r="J1419" s="182" t="s">
        <v>98</v>
      </c>
      <c r="K1419" s="129" t="s">
        <v>1902</v>
      </c>
      <c r="L1419" s="182" t="s">
        <v>155</v>
      </c>
      <c r="M1419" s="129"/>
      <c r="N1419" s="129"/>
      <c r="O1419" s="450"/>
      <c r="P1419" s="450"/>
      <c r="Q1419" s="450"/>
    </row>
    <row r="1420" spans="1:17" ht="15.6">
      <c r="A1420" s="505">
        <v>45880</v>
      </c>
      <c r="B1420" s="182" t="s">
        <v>2997</v>
      </c>
      <c r="C1420" s="182" t="s">
        <v>174</v>
      </c>
      <c r="D1420" s="182" t="s">
        <v>121</v>
      </c>
      <c r="E1420" s="182">
        <v>2500</v>
      </c>
      <c r="F1420" s="325">
        <f t="shared" si="11"/>
        <v>4.4567887589091209</v>
      </c>
      <c r="G1420" s="326">
        <v>560.94200000000001</v>
      </c>
      <c r="H1420" s="182" t="s">
        <v>317</v>
      </c>
      <c r="I1420" s="182" t="s">
        <v>2632</v>
      </c>
      <c r="J1420" s="182" t="s">
        <v>98</v>
      </c>
      <c r="K1420" s="129" t="s">
        <v>1902</v>
      </c>
      <c r="L1420" s="182" t="s">
        <v>155</v>
      </c>
      <c r="M1420" s="129"/>
      <c r="N1420" s="129"/>
      <c r="O1420" s="450"/>
      <c r="P1420" s="450"/>
      <c r="Q1420" s="450"/>
    </row>
    <row r="1421" spans="1:17" ht="15.6">
      <c r="A1421" s="505">
        <v>45880</v>
      </c>
      <c r="B1421" s="182" t="s">
        <v>3125</v>
      </c>
      <c r="C1421" s="182" t="s">
        <v>174</v>
      </c>
      <c r="D1421" s="182" t="s">
        <v>121</v>
      </c>
      <c r="E1421" s="496">
        <v>1000</v>
      </c>
      <c r="F1421" s="325">
        <f t="shared" si="11"/>
        <v>1.7827155035636482</v>
      </c>
      <c r="G1421" s="326">
        <v>560.94200000000001</v>
      </c>
      <c r="H1421" s="182" t="s">
        <v>323</v>
      </c>
      <c r="I1421" s="182" t="s">
        <v>2671</v>
      </c>
      <c r="J1421" s="182" t="s">
        <v>98</v>
      </c>
      <c r="K1421" s="129" t="s">
        <v>1902</v>
      </c>
      <c r="L1421" s="182" t="s">
        <v>155</v>
      </c>
      <c r="M1421" s="129"/>
      <c r="N1421" s="129"/>
      <c r="O1421" s="450"/>
      <c r="P1421" s="450"/>
      <c r="Q1421" s="450"/>
    </row>
    <row r="1422" spans="1:17" ht="15.6">
      <c r="A1422" s="505">
        <v>45880</v>
      </c>
      <c r="B1422" s="182" t="s">
        <v>2651</v>
      </c>
      <c r="C1422" s="182" t="s">
        <v>174</v>
      </c>
      <c r="D1422" s="182" t="s">
        <v>121</v>
      </c>
      <c r="E1422" s="496">
        <v>1000</v>
      </c>
      <c r="F1422" s="325">
        <f t="shared" si="11"/>
        <v>1.7827155035636482</v>
      </c>
      <c r="G1422" s="326">
        <v>560.94200000000001</v>
      </c>
      <c r="H1422" s="182" t="s">
        <v>323</v>
      </c>
      <c r="I1422" s="182" t="s">
        <v>2671</v>
      </c>
      <c r="J1422" s="182" t="s">
        <v>98</v>
      </c>
      <c r="K1422" s="129" t="s">
        <v>1902</v>
      </c>
      <c r="L1422" s="182" t="s">
        <v>155</v>
      </c>
      <c r="M1422" s="129"/>
      <c r="N1422" s="129"/>
      <c r="O1422" s="450"/>
      <c r="P1422" s="450"/>
      <c r="Q1422" s="450"/>
    </row>
    <row r="1423" spans="1:17" ht="15.6">
      <c r="A1423" s="535">
        <v>45881</v>
      </c>
      <c r="B1423" s="517" t="s">
        <v>2099</v>
      </c>
      <c r="C1423" s="308" t="s">
        <v>174</v>
      </c>
      <c r="D1423" s="308" t="s">
        <v>119</v>
      </c>
      <c r="E1423" s="517">
        <v>1000</v>
      </c>
      <c r="F1423" s="325">
        <f t="shared" si="11"/>
        <v>1.7827155035636482</v>
      </c>
      <c r="G1423" s="326">
        <v>560.94200000000001</v>
      </c>
      <c r="H1423" s="524" t="s">
        <v>153</v>
      </c>
      <c r="I1423" s="525" t="s">
        <v>2494</v>
      </c>
      <c r="J1423" s="182" t="s">
        <v>98</v>
      </c>
      <c r="K1423" s="129" t="s">
        <v>1902</v>
      </c>
      <c r="L1423" s="182" t="s">
        <v>155</v>
      </c>
      <c r="M1423" s="129"/>
      <c r="N1423" s="129"/>
      <c r="O1423" s="450"/>
      <c r="P1423" s="450"/>
      <c r="Q1423" s="450"/>
    </row>
    <row r="1424" spans="1:17" ht="15.6">
      <c r="A1424" s="535">
        <v>45881</v>
      </c>
      <c r="B1424" s="517" t="s">
        <v>2100</v>
      </c>
      <c r="C1424" s="308" t="s">
        <v>174</v>
      </c>
      <c r="D1424" s="308" t="s">
        <v>119</v>
      </c>
      <c r="E1424" s="517">
        <v>1000</v>
      </c>
      <c r="F1424" s="325">
        <f t="shared" si="11"/>
        <v>1.7827155035636482</v>
      </c>
      <c r="G1424" s="326">
        <v>560.94200000000001</v>
      </c>
      <c r="H1424" s="524" t="s">
        <v>153</v>
      </c>
      <c r="I1424" s="525" t="s">
        <v>2494</v>
      </c>
      <c r="J1424" s="182" t="s">
        <v>98</v>
      </c>
      <c r="K1424" s="129" t="s">
        <v>1902</v>
      </c>
      <c r="L1424" s="182" t="s">
        <v>155</v>
      </c>
      <c r="M1424" s="129"/>
      <c r="N1424" s="129"/>
      <c r="O1424" s="450"/>
      <c r="P1424" s="450"/>
      <c r="Q1424" s="450"/>
    </row>
    <row r="1425" spans="1:17" ht="15.6">
      <c r="A1425" s="505">
        <v>45881</v>
      </c>
      <c r="B1425" s="182" t="s">
        <v>3126</v>
      </c>
      <c r="C1425" s="182" t="s">
        <v>174</v>
      </c>
      <c r="D1425" s="177" t="s">
        <v>121</v>
      </c>
      <c r="E1425" s="182">
        <v>1000</v>
      </c>
      <c r="F1425" s="325">
        <f t="shared" si="11"/>
        <v>1.7827155035636482</v>
      </c>
      <c r="G1425" s="326">
        <v>560.94200000000001</v>
      </c>
      <c r="H1425" s="182" t="s">
        <v>175</v>
      </c>
      <c r="I1425" s="182" t="s">
        <v>2588</v>
      </c>
      <c r="J1425" s="182" t="s">
        <v>98</v>
      </c>
      <c r="K1425" s="129" t="s">
        <v>1902</v>
      </c>
      <c r="L1425" s="182" t="s">
        <v>155</v>
      </c>
      <c r="M1425" s="129"/>
      <c r="N1425" s="129"/>
      <c r="O1425" s="450"/>
      <c r="P1425" s="450"/>
      <c r="Q1425" s="450"/>
    </row>
    <row r="1426" spans="1:17" ht="15.6">
      <c r="A1426" s="505">
        <v>45881</v>
      </c>
      <c r="B1426" s="182" t="s">
        <v>3127</v>
      </c>
      <c r="C1426" s="182" t="s">
        <v>174</v>
      </c>
      <c r="D1426" s="177" t="s">
        <v>121</v>
      </c>
      <c r="E1426" s="182">
        <v>1000</v>
      </c>
      <c r="F1426" s="325">
        <f t="shared" si="11"/>
        <v>1.7827155035636482</v>
      </c>
      <c r="G1426" s="326">
        <v>560.94200000000001</v>
      </c>
      <c r="H1426" s="182" t="s">
        <v>175</v>
      </c>
      <c r="I1426" s="182" t="s">
        <v>2588</v>
      </c>
      <c r="J1426" s="182" t="s">
        <v>98</v>
      </c>
      <c r="K1426" s="129" t="s">
        <v>1902</v>
      </c>
      <c r="L1426" s="182" t="s">
        <v>155</v>
      </c>
      <c r="M1426" s="129"/>
      <c r="N1426" s="129"/>
      <c r="O1426" s="450"/>
      <c r="P1426" s="450"/>
      <c r="Q1426" s="450"/>
    </row>
    <row r="1427" spans="1:17" ht="15.6">
      <c r="A1427" s="505">
        <v>45881</v>
      </c>
      <c r="B1427" s="182" t="s">
        <v>3128</v>
      </c>
      <c r="C1427" s="182" t="s">
        <v>174</v>
      </c>
      <c r="D1427" s="177" t="s">
        <v>121</v>
      </c>
      <c r="E1427" s="182">
        <v>1000</v>
      </c>
      <c r="F1427" s="325">
        <f t="shared" si="11"/>
        <v>1.7827155035636482</v>
      </c>
      <c r="G1427" s="326">
        <v>560.94200000000001</v>
      </c>
      <c r="H1427" s="182" t="s">
        <v>175</v>
      </c>
      <c r="I1427" s="182" t="s">
        <v>2588</v>
      </c>
      <c r="J1427" s="182" t="s">
        <v>98</v>
      </c>
      <c r="K1427" s="129" t="s">
        <v>1902</v>
      </c>
      <c r="L1427" s="182" t="s">
        <v>155</v>
      </c>
      <c r="M1427" s="129"/>
      <c r="N1427" s="129"/>
      <c r="O1427" s="450"/>
      <c r="P1427" s="450"/>
      <c r="Q1427" s="450"/>
    </row>
    <row r="1428" spans="1:17" ht="15.6">
      <c r="A1428" s="505">
        <v>45881</v>
      </c>
      <c r="B1428" s="182" t="s">
        <v>3129</v>
      </c>
      <c r="C1428" s="182" t="s">
        <v>174</v>
      </c>
      <c r="D1428" s="177" t="s">
        <v>121</v>
      </c>
      <c r="E1428" s="182">
        <v>1000</v>
      </c>
      <c r="F1428" s="325">
        <f t="shared" si="11"/>
        <v>1.7827155035636482</v>
      </c>
      <c r="G1428" s="326">
        <v>560.94200000000001</v>
      </c>
      <c r="H1428" s="182" t="s">
        <v>175</v>
      </c>
      <c r="I1428" s="182" t="s">
        <v>2588</v>
      </c>
      <c r="J1428" s="182" t="s">
        <v>98</v>
      </c>
      <c r="K1428" s="129" t="s">
        <v>1902</v>
      </c>
      <c r="L1428" s="182" t="s">
        <v>155</v>
      </c>
      <c r="M1428" s="129"/>
      <c r="N1428" s="129"/>
      <c r="O1428" s="450"/>
      <c r="P1428" s="450"/>
      <c r="Q1428" s="450"/>
    </row>
    <row r="1429" spans="1:17" ht="15.6">
      <c r="A1429" s="505">
        <v>45881</v>
      </c>
      <c r="B1429" s="182" t="s">
        <v>2581</v>
      </c>
      <c r="C1429" s="182" t="s">
        <v>368</v>
      </c>
      <c r="D1429" s="177" t="s">
        <v>121</v>
      </c>
      <c r="E1429" s="182">
        <v>2000</v>
      </c>
      <c r="F1429" s="325">
        <f t="shared" si="11"/>
        <v>3.5654310071272963</v>
      </c>
      <c r="G1429" s="326">
        <v>560.94200000000001</v>
      </c>
      <c r="H1429" s="182" t="s">
        <v>175</v>
      </c>
      <c r="I1429" s="182" t="s">
        <v>2590</v>
      </c>
      <c r="J1429" s="182" t="s">
        <v>98</v>
      </c>
      <c r="K1429" s="129" t="s">
        <v>1902</v>
      </c>
      <c r="L1429" s="182" t="s">
        <v>155</v>
      </c>
      <c r="M1429" s="129"/>
      <c r="N1429" s="129"/>
      <c r="O1429" s="450"/>
      <c r="P1429" s="450"/>
      <c r="Q1429" s="450"/>
    </row>
    <row r="1430" spans="1:17" ht="15.6">
      <c r="A1430" s="505">
        <v>45881</v>
      </c>
      <c r="B1430" s="182" t="s">
        <v>2618</v>
      </c>
      <c r="C1430" s="182" t="s">
        <v>174</v>
      </c>
      <c r="D1430" s="182" t="s">
        <v>121</v>
      </c>
      <c r="E1430" s="182">
        <v>1000</v>
      </c>
      <c r="F1430" s="325">
        <f t="shared" si="11"/>
        <v>1.7827155035636482</v>
      </c>
      <c r="G1430" s="326">
        <v>560.94200000000001</v>
      </c>
      <c r="H1430" s="182" t="s">
        <v>317</v>
      </c>
      <c r="I1430" s="182" t="s">
        <v>2632</v>
      </c>
      <c r="J1430" s="182" t="s">
        <v>98</v>
      </c>
      <c r="K1430" s="129" t="s">
        <v>1902</v>
      </c>
      <c r="L1430" s="182" t="s">
        <v>155</v>
      </c>
      <c r="M1430" s="129"/>
      <c r="N1430" s="129"/>
      <c r="O1430" s="450"/>
      <c r="P1430" s="450"/>
      <c r="Q1430" s="450"/>
    </row>
    <row r="1431" spans="1:17" ht="15.6">
      <c r="A1431" s="505">
        <v>45881</v>
      </c>
      <c r="B1431" s="182" t="s">
        <v>3130</v>
      </c>
      <c r="C1431" s="182" t="s">
        <v>174</v>
      </c>
      <c r="D1431" s="182" t="s">
        <v>121</v>
      </c>
      <c r="E1431" s="182">
        <v>1500</v>
      </c>
      <c r="F1431" s="325">
        <f t="shared" si="11"/>
        <v>2.6740732553454722</v>
      </c>
      <c r="G1431" s="326">
        <v>560.94200000000001</v>
      </c>
      <c r="H1431" s="182" t="s">
        <v>317</v>
      </c>
      <c r="I1431" s="182" t="s">
        <v>2632</v>
      </c>
      <c r="J1431" s="182" t="s">
        <v>98</v>
      </c>
      <c r="K1431" s="129" t="s">
        <v>1902</v>
      </c>
      <c r="L1431" s="182" t="s">
        <v>155</v>
      </c>
      <c r="M1431" s="129"/>
      <c r="N1431" s="129"/>
      <c r="O1431" s="450"/>
      <c r="P1431" s="450"/>
      <c r="Q1431" s="450"/>
    </row>
    <row r="1432" spans="1:17" ht="15.6">
      <c r="A1432" s="505">
        <v>45881</v>
      </c>
      <c r="B1432" s="182" t="s">
        <v>3131</v>
      </c>
      <c r="C1432" s="182" t="s">
        <v>174</v>
      </c>
      <c r="D1432" s="182" t="s">
        <v>121</v>
      </c>
      <c r="E1432" s="182">
        <v>2500</v>
      </c>
      <c r="F1432" s="325">
        <f t="shared" si="11"/>
        <v>4.4567887589091209</v>
      </c>
      <c r="G1432" s="326">
        <v>560.94200000000001</v>
      </c>
      <c r="H1432" s="182" t="s">
        <v>317</v>
      </c>
      <c r="I1432" s="182" t="s">
        <v>2632</v>
      </c>
      <c r="J1432" s="182" t="s">
        <v>98</v>
      </c>
      <c r="K1432" s="129" t="s">
        <v>1902</v>
      </c>
      <c r="L1432" s="182" t="s">
        <v>155</v>
      </c>
      <c r="M1432" s="129"/>
      <c r="N1432" s="129"/>
      <c r="O1432" s="450"/>
      <c r="P1432" s="450"/>
      <c r="Q1432" s="450"/>
    </row>
    <row r="1433" spans="1:17" ht="15.6">
      <c r="A1433" s="505">
        <v>45881</v>
      </c>
      <c r="B1433" s="182" t="s">
        <v>2652</v>
      </c>
      <c r="C1433" s="182" t="s">
        <v>174</v>
      </c>
      <c r="D1433" s="182" t="s">
        <v>121</v>
      </c>
      <c r="E1433" s="496">
        <v>1000</v>
      </c>
      <c r="F1433" s="325">
        <f t="shared" si="11"/>
        <v>1.7827155035636482</v>
      </c>
      <c r="G1433" s="326">
        <v>560.94200000000001</v>
      </c>
      <c r="H1433" s="182" t="s">
        <v>323</v>
      </c>
      <c r="I1433" s="182" t="s">
        <v>2671</v>
      </c>
      <c r="J1433" s="182" t="s">
        <v>98</v>
      </c>
      <c r="K1433" s="129" t="s">
        <v>1902</v>
      </c>
      <c r="L1433" s="182" t="s">
        <v>155</v>
      </c>
      <c r="M1433" s="129"/>
      <c r="N1433" s="129"/>
      <c r="O1433" s="450"/>
      <c r="P1433" s="450"/>
      <c r="Q1433" s="450"/>
    </row>
    <row r="1434" spans="1:17" ht="15.6">
      <c r="A1434" s="505">
        <v>45881</v>
      </c>
      <c r="B1434" s="182" t="s">
        <v>3132</v>
      </c>
      <c r="C1434" s="182" t="s">
        <v>174</v>
      </c>
      <c r="D1434" s="182" t="s">
        <v>121</v>
      </c>
      <c r="E1434" s="496">
        <v>1000</v>
      </c>
      <c r="F1434" s="325">
        <f t="shared" si="11"/>
        <v>1.7827155035636482</v>
      </c>
      <c r="G1434" s="326">
        <v>560.94200000000001</v>
      </c>
      <c r="H1434" s="182" t="s">
        <v>323</v>
      </c>
      <c r="I1434" s="182" t="s">
        <v>2671</v>
      </c>
      <c r="J1434" s="182" t="s">
        <v>98</v>
      </c>
      <c r="K1434" s="129" t="s">
        <v>1902</v>
      </c>
      <c r="L1434" s="182" t="s">
        <v>155</v>
      </c>
      <c r="M1434" s="129"/>
      <c r="N1434" s="129"/>
      <c r="O1434" s="450"/>
      <c r="P1434" s="450"/>
      <c r="Q1434" s="450"/>
    </row>
    <row r="1435" spans="1:17" ht="15.6">
      <c r="A1435" s="505">
        <v>45881</v>
      </c>
      <c r="B1435" s="182" t="s">
        <v>3133</v>
      </c>
      <c r="C1435" s="182" t="s">
        <v>174</v>
      </c>
      <c r="D1435" s="182" t="s">
        <v>121</v>
      </c>
      <c r="E1435" s="496">
        <v>1000</v>
      </c>
      <c r="F1435" s="325">
        <f t="shared" si="11"/>
        <v>1.7827155035636482</v>
      </c>
      <c r="G1435" s="326">
        <v>560.94200000000001</v>
      </c>
      <c r="H1435" s="182" t="s">
        <v>323</v>
      </c>
      <c r="I1435" s="182" t="s">
        <v>2671</v>
      </c>
      <c r="J1435" s="182" t="s">
        <v>98</v>
      </c>
      <c r="K1435" s="129" t="s">
        <v>1902</v>
      </c>
      <c r="L1435" s="182" t="s">
        <v>155</v>
      </c>
      <c r="M1435" s="129"/>
      <c r="N1435" s="129"/>
      <c r="O1435" s="450"/>
      <c r="P1435" s="450"/>
      <c r="Q1435" s="450"/>
    </row>
    <row r="1436" spans="1:17" ht="15.6">
      <c r="A1436" s="505">
        <v>45881</v>
      </c>
      <c r="B1436" s="182" t="s">
        <v>3134</v>
      </c>
      <c r="C1436" s="182" t="s">
        <v>174</v>
      </c>
      <c r="D1436" s="182" t="s">
        <v>121</v>
      </c>
      <c r="E1436" s="496">
        <v>1000</v>
      </c>
      <c r="F1436" s="325">
        <f t="shared" si="11"/>
        <v>1.7827155035636482</v>
      </c>
      <c r="G1436" s="326">
        <v>560.94200000000001</v>
      </c>
      <c r="H1436" s="182" t="s">
        <v>323</v>
      </c>
      <c r="I1436" s="182" t="s">
        <v>2671</v>
      </c>
      <c r="J1436" s="182" t="s">
        <v>98</v>
      </c>
      <c r="K1436" s="129" t="s">
        <v>1902</v>
      </c>
      <c r="L1436" s="182" t="s">
        <v>155</v>
      </c>
      <c r="M1436" s="129"/>
      <c r="N1436" s="129"/>
      <c r="O1436" s="450"/>
      <c r="P1436" s="450"/>
      <c r="Q1436" s="450"/>
    </row>
    <row r="1437" spans="1:17" ht="15.6">
      <c r="A1437" s="535">
        <v>45882</v>
      </c>
      <c r="B1437" s="517" t="s">
        <v>2099</v>
      </c>
      <c r="C1437" s="308" t="s">
        <v>174</v>
      </c>
      <c r="D1437" s="308" t="s">
        <v>119</v>
      </c>
      <c r="E1437" s="517">
        <v>1000</v>
      </c>
      <c r="F1437" s="325">
        <f t="shared" si="11"/>
        <v>1.7827155035636482</v>
      </c>
      <c r="G1437" s="326">
        <v>560.94200000000001</v>
      </c>
      <c r="H1437" s="524" t="s">
        <v>153</v>
      </c>
      <c r="I1437" s="525" t="s">
        <v>2494</v>
      </c>
      <c r="J1437" s="182" t="s">
        <v>98</v>
      </c>
      <c r="K1437" s="129" t="s">
        <v>1902</v>
      </c>
      <c r="L1437" s="182" t="s">
        <v>155</v>
      </c>
      <c r="M1437" s="129"/>
      <c r="N1437" s="129"/>
      <c r="O1437" s="450"/>
      <c r="P1437" s="450"/>
      <c r="Q1437" s="450"/>
    </row>
    <row r="1438" spans="1:17" ht="15.6">
      <c r="A1438" s="535">
        <v>45882</v>
      </c>
      <c r="B1438" s="517" t="s">
        <v>2100</v>
      </c>
      <c r="C1438" s="308" t="s">
        <v>174</v>
      </c>
      <c r="D1438" s="308" t="s">
        <v>119</v>
      </c>
      <c r="E1438" s="517">
        <v>1000</v>
      </c>
      <c r="F1438" s="325">
        <f t="shared" ref="F1438" si="12">E1438/G1438</f>
        <v>1.7827155035636482</v>
      </c>
      <c r="G1438" s="326">
        <v>560.94200000000001</v>
      </c>
      <c r="H1438" s="524" t="s">
        <v>153</v>
      </c>
      <c r="I1438" s="525" t="s">
        <v>2494</v>
      </c>
      <c r="J1438" s="182" t="s">
        <v>98</v>
      </c>
      <c r="K1438" s="129" t="s">
        <v>1902</v>
      </c>
      <c r="L1438" s="182" t="s">
        <v>155</v>
      </c>
      <c r="M1438" s="129"/>
      <c r="N1438" s="129"/>
      <c r="O1438" s="450"/>
      <c r="P1438" s="450"/>
      <c r="Q1438" s="450"/>
    </row>
    <row r="1439" spans="1:17" ht="15.6">
      <c r="A1439" s="504">
        <v>45882</v>
      </c>
      <c r="B1439" s="182" t="s">
        <v>2508</v>
      </c>
      <c r="C1439" s="182" t="s">
        <v>174</v>
      </c>
      <c r="D1439" s="182" t="s">
        <v>118</v>
      </c>
      <c r="E1439" s="435">
        <v>1500</v>
      </c>
      <c r="F1439" s="325"/>
      <c r="G1439" s="326">
        <v>560.94200000000001</v>
      </c>
      <c r="H1439" s="182" t="s">
        <v>583</v>
      </c>
      <c r="I1439" s="182" t="s">
        <v>2536</v>
      </c>
      <c r="J1439" s="182" t="s">
        <v>98</v>
      </c>
      <c r="K1439" s="129" t="s">
        <v>1902</v>
      </c>
      <c r="L1439" s="182" t="s">
        <v>155</v>
      </c>
      <c r="M1439" s="343"/>
      <c r="N1439" s="129"/>
      <c r="O1439" s="450"/>
      <c r="P1439" s="450"/>
      <c r="Q1439" s="450"/>
    </row>
    <row r="1440" spans="1:17" ht="15.6">
      <c r="A1440" s="504">
        <v>45882</v>
      </c>
      <c r="B1440" s="182" t="s">
        <v>2509</v>
      </c>
      <c r="C1440" s="182" t="s">
        <v>174</v>
      </c>
      <c r="D1440" s="182" t="s">
        <v>118</v>
      </c>
      <c r="E1440" s="435">
        <v>1500</v>
      </c>
      <c r="F1440" s="325">
        <f t="shared" ref="F1440:F1503" si="13">E1440/G1440</f>
        <v>2.6740732553454722</v>
      </c>
      <c r="G1440" s="326">
        <v>560.94200000000001</v>
      </c>
      <c r="H1440" s="182" t="s">
        <v>583</v>
      </c>
      <c r="I1440" s="182" t="s">
        <v>2536</v>
      </c>
      <c r="J1440" s="182" t="s">
        <v>98</v>
      </c>
      <c r="K1440" s="129" t="s">
        <v>1902</v>
      </c>
      <c r="L1440" s="182" t="s">
        <v>155</v>
      </c>
      <c r="M1440" s="129"/>
      <c r="N1440" s="129"/>
      <c r="O1440" s="450"/>
      <c r="P1440" s="450"/>
      <c r="Q1440" s="450"/>
    </row>
    <row r="1441" spans="1:17" ht="15.6">
      <c r="A1441" s="467">
        <v>45882</v>
      </c>
      <c r="B1441" s="177" t="s">
        <v>3135</v>
      </c>
      <c r="C1441" s="177" t="s">
        <v>174</v>
      </c>
      <c r="D1441" s="177" t="s">
        <v>121</v>
      </c>
      <c r="E1441" s="177">
        <v>1000</v>
      </c>
      <c r="F1441" s="325">
        <f t="shared" si="13"/>
        <v>1.7827155035636482</v>
      </c>
      <c r="G1441" s="326">
        <v>560.94200000000001</v>
      </c>
      <c r="H1441" s="177" t="s">
        <v>184</v>
      </c>
      <c r="I1441" s="177" t="s">
        <v>2558</v>
      </c>
      <c r="J1441" s="182" t="s">
        <v>98</v>
      </c>
      <c r="K1441" s="129" t="s">
        <v>1902</v>
      </c>
      <c r="L1441" s="182" t="s">
        <v>155</v>
      </c>
      <c r="M1441" s="129"/>
      <c r="N1441" s="129"/>
      <c r="O1441" s="450"/>
      <c r="P1441" s="450"/>
      <c r="Q1441" s="450"/>
    </row>
    <row r="1442" spans="1:17" ht="15.6">
      <c r="A1442" s="467">
        <v>45882</v>
      </c>
      <c r="B1442" s="177" t="s">
        <v>3136</v>
      </c>
      <c r="C1442" s="177" t="s">
        <v>174</v>
      </c>
      <c r="D1442" s="177" t="s">
        <v>121</v>
      </c>
      <c r="E1442" s="177">
        <v>1000</v>
      </c>
      <c r="F1442" s="325">
        <f t="shared" si="13"/>
        <v>1.7827155035636482</v>
      </c>
      <c r="G1442" s="326">
        <v>560.94200000000001</v>
      </c>
      <c r="H1442" s="177" t="s">
        <v>184</v>
      </c>
      <c r="I1442" s="177" t="s">
        <v>2558</v>
      </c>
      <c r="J1442" s="182" t="s">
        <v>98</v>
      </c>
      <c r="K1442" s="129" t="s">
        <v>1902</v>
      </c>
      <c r="L1442" s="182" t="s">
        <v>155</v>
      </c>
      <c r="M1442" s="129"/>
      <c r="N1442" s="129"/>
      <c r="O1442" s="450"/>
      <c r="P1442" s="450"/>
      <c r="Q1442" s="450"/>
    </row>
    <row r="1443" spans="1:17" ht="15.6">
      <c r="A1443" s="467">
        <v>45882</v>
      </c>
      <c r="B1443" s="177" t="s">
        <v>2547</v>
      </c>
      <c r="C1443" s="177" t="s">
        <v>174</v>
      </c>
      <c r="D1443" s="177" t="s">
        <v>121</v>
      </c>
      <c r="E1443" s="177">
        <v>1500</v>
      </c>
      <c r="F1443" s="325">
        <f t="shared" si="13"/>
        <v>2.6740732553454722</v>
      </c>
      <c r="G1443" s="326">
        <v>560.94200000000001</v>
      </c>
      <c r="H1443" s="177" t="s">
        <v>184</v>
      </c>
      <c r="I1443" s="177" t="s">
        <v>2558</v>
      </c>
      <c r="J1443" s="182" t="s">
        <v>98</v>
      </c>
      <c r="K1443" s="129" t="s">
        <v>1902</v>
      </c>
      <c r="L1443" s="182" t="s">
        <v>155</v>
      </c>
      <c r="M1443" s="129"/>
      <c r="N1443" s="129"/>
      <c r="O1443" s="450"/>
      <c r="P1443" s="450"/>
      <c r="Q1443" s="450"/>
    </row>
    <row r="1444" spans="1:17" ht="15.6">
      <c r="A1444" s="467">
        <v>45882</v>
      </c>
      <c r="B1444" s="177" t="s">
        <v>2552</v>
      </c>
      <c r="C1444" s="177" t="s">
        <v>368</v>
      </c>
      <c r="D1444" s="177" t="s">
        <v>121</v>
      </c>
      <c r="E1444" s="177">
        <v>1000</v>
      </c>
      <c r="F1444" s="325">
        <f t="shared" si="13"/>
        <v>1.7827155035636482</v>
      </c>
      <c r="G1444" s="326">
        <v>560.94200000000001</v>
      </c>
      <c r="H1444" s="177" t="s">
        <v>184</v>
      </c>
      <c r="I1444" s="177" t="s">
        <v>2559</v>
      </c>
      <c r="J1444" s="182" t="s">
        <v>98</v>
      </c>
      <c r="K1444" s="129" t="s">
        <v>1902</v>
      </c>
      <c r="L1444" s="182" t="s">
        <v>155</v>
      </c>
      <c r="M1444" s="129"/>
      <c r="N1444" s="129"/>
      <c r="O1444" s="450"/>
      <c r="P1444" s="450"/>
      <c r="Q1444" s="450"/>
    </row>
    <row r="1445" spans="1:17" ht="15.6">
      <c r="A1445" s="505">
        <v>45882</v>
      </c>
      <c r="B1445" s="182" t="s">
        <v>3137</v>
      </c>
      <c r="C1445" s="182" t="s">
        <v>174</v>
      </c>
      <c r="D1445" s="177" t="s">
        <v>121</v>
      </c>
      <c r="E1445" s="182">
        <v>1500</v>
      </c>
      <c r="F1445" s="325">
        <f t="shared" si="13"/>
        <v>2.6740732553454722</v>
      </c>
      <c r="G1445" s="326">
        <v>560.94200000000001</v>
      </c>
      <c r="H1445" s="182" t="s">
        <v>175</v>
      </c>
      <c r="I1445" s="182" t="s">
        <v>2588</v>
      </c>
      <c r="J1445" s="182" t="s">
        <v>98</v>
      </c>
      <c r="K1445" s="129" t="s">
        <v>1902</v>
      </c>
      <c r="L1445" s="182" t="s">
        <v>155</v>
      </c>
      <c r="M1445" s="129"/>
      <c r="N1445" s="129"/>
      <c r="O1445" s="450"/>
      <c r="P1445" s="450"/>
      <c r="Q1445" s="450"/>
    </row>
    <row r="1446" spans="1:17" ht="15.6">
      <c r="A1446" s="505">
        <v>45882</v>
      </c>
      <c r="B1446" s="182" t="s">
        <v>3138</v>
      </c>
      <c r="C1446" s="182" t="s">
        <v>174</v>
      </c>
      <c r="D1446" s="177" t="s">
        <v>121</v>
      </c>
      <c r="E1446" s="182">
        <v>1000</v>
      </c>
      <c r="F1446" s="325">
        <f t="shared" si="13"/>
        <v>1.7827155035636482</v>
      </c>
      <c r="G1446" s="326">
        <v>560.94200000000001</v>
      </c>
      <c r="H1446" s="182" t="s">
        <v>175</v>
      </c>
      <c r="I1446" s="182" t="s">
        <v>2588</v>
      </c>
      <c r="J1446" s="182" t="s">
        <v>98</v>
      </c>
      <c r="K1446" s="129" t="s">
        <v>1902</v>
      </c>
      <c r="L1446" s="182" t="s">
        <v>155</v>
      </c>
      <c r="M1446" s="129"/>
      <c r="N1446" s="129"/>
      <c r="O1446" s="450"/>
      <c r="P1446" s="450"/>
      <c r="Q1446" s="450"/>
    </row>
    <row r="1447" spans="1:17" ht="15.6">
      <c r="A1447" s="505">
        <v>45882</v>
      </c>
      <c r="B1447" s="182" t="s">
        <v>3139</v>
      </c>
      <c r="C1447" s="182" t="s">
        <v>174</v>
      </c>
      <c r="D1447" s="177" t="s">
        <v>121</v>
      </c>
      <c r="E1447" s="182">
        <v>1000</v>
      </c>
      <c r="F1447" s="325">
        <f t="shared" si="13"/>
        <v>1.7827155035636482</v>
      </c>
      <c r="G1447" s="326">
        <v>560.94200000000001</v>
      </c>
      <c r="H1447" s="182" t="s">
        <v>175</v>
      </c>
      <c r="I1447" s="182" t="s">
        <v>2588</v>
      </c>
      <c r="J1447" s="182" t="s">
        <v>98</v>
      </c>
      <c r="K1447" s="129" t="s">
        <v>1902</v>
      </c>
      <c r="L1447" s="182" t="s">
        <v>155</v>
      </c>
      <c r="M1447" s="129"/>
      <c r="N1447" s="129"/>
      <c r="O1447" s="450"/>
      <c r="P1447" s="450"/>
      <c r="Q1447" s="450"/>
    </row>
    <row r="1448" spans="1:17" ht="15.6">
      <c r="A1448" s="505">
        <v>45882</v>
      </c>
      <c r="B1448" s="182" t="s">
        <v>3140</v>
      </c>
      <c r="C1448" s="182" t="s">
        <v>174</v>
      </c>
      <c r="D1448" s="177" t="s">
        <v>121</v>
      </c>
      <c r="E1448" s="182">
        <v>2000</v>
      </c>
      <c r="F1448" s="325">
        <f t="shared" si="13"/>
        <v>3.5654310071272963</v>
      </c>
      <c r="G1448" s="326">
        <v>560.94200000000001</v>
      </c>
      <c r="H1448" s="182" t="s">
        <v>175</v>
      </c>
      <c r="I1448" s="182" t="s">
        <v>2588</v>
      </c>
      <c r="J1448" s="182" t="s">
        <v>98</v>
      </c>
      <c r="K1448" s="129" t="s">
        <v>1902</v>
      </c>
      <c r="L1448" s="182" t="s">
        <v>155</v>
      </c>
      <c r="M1448" s="129"/>
      <c r="N1448" s="129"/>
      <c r="O1448" s="450"/>
      <c r="P1448" s="450"/>
      <c r="Q1448" s="450"/>
    </row>
    <row r="1449" spans="1:17" ht="15.6">
      <c r="A1449" s="505">
        <v>45882</v>
      </c>
      <c r="B1449" s="182" t="s">
        <v>2996</v>
      </c>
      <c r="C1449" s="182" t="s">
        <v>174</v>
      </c>
      <c r="D1449" s="177" t="s">
        <v>121</v>
      </c>
      <c r="E1449" s="182">
        <v>2000</v>
      </c>
      <c r="F1449" s="325">
        <f t="shared" si="13"/>
        <v>3.5654310071272963</v>
      </c>
      <c r="G1449" s="326">
        <v>560.94200000000001</v>
      </c>
      <c r="H1449" s="182" t="s">
        <v>175</v>
      </c>
      <c r="I1449" s="182" t="s">
        <v>2588</v>
      </c>
      <c r="J1449" s="182" t="s">
        <v>98</v>
      </c>
      <c r="K1449" s="129" t="s">
        <v>1902</v>
      </c>
      <c r="L1449" s="182" t="s">
        <v>155</v>
      </c>
      <c r="M1449" s="129"/>
      <c r="N1449" s="129"/>
      <c r="O1449" s="450"/>
      <c r="P1449" s="450"/>
      <c r="Q1449" s="450"/>
    </row>
    <row r="1450" spans="1:17" ht="15.6">
      <c r="A1450" s="505">
        <v>45882</v>
      </c>
      <c r="B1450" s="182" t="s">
        <v>2997</v>
      </c>
      <c r="C1450" s="182" t="s">
        <v>174</v>
      </c>
      <c r="D1450" s="182" t="s">
        <v>121</v>
      </c>
      <c r="E1450" s="182">
        <v>2000</v>
      </c>
      <c r="F1450" s="325">
        <f t="shared" si="13"/>
        <v>3.5654310071272963</v>
      </c>
      <c r="G1450" s="326">
        <v>560.94200000000001</v>
      </c>
      <c r="H1450" s="182" t="s">
        <v>317</v>
      </c>
      <c r="I1450" s="182" t="s">
        <v>2632</v>
      </c>
      <c r="J1450" s="182" t="s">
        <v>98</v>
      </c>
      <c r="K1450" s="129" t="s">
        <v>1902</v>
      </c>
      <c r="L1450" s="182" t="s">
        <v>155</v>
      </c>
      <c r="M1450" s="129"/>
      <c r="N1450" s="129"/>
      <c r="O1450" s="450"/>
      <c r="P1450" s="450"/>
      <c r="Q1450" s="450"/>
    </row>
    <row r="1451" spans="1:17" ht="15.6">
      <c r="A1451" s="505">
        <v>45882</v>
      </c>
      <c r="B1451" s="182" t="s">
        <v>2997</v>
      </c>
      <c r="C1451" s="182" t="s">
        <v>174</v>
      </c>
      <c r="D1451" s="182" t="s">
        <v>121</v>
      </c>
      <c r="E1451" s="182">
        <v>1000</v>
      </c>
      <c r="F1451" s="325">
        <f t="shared" si="13"/>
        <v>1.7827155035636482</v>
      </c>
      <c r="G1451" s="326">
        <v>560.94200000000001</v>
      </c>
      <c r="H1451" s="182" t="s">
        <v>317</v>
      </c>
      <c r="I1451" s="182" t="s">
        <v>2632</v>
      </c>
      <c r="J1451" s="182" t="s">
        <v>98</v>
      </c>
      <c r="K1451" s="129" t="s">
        <v>1902</v>
      </c>
      <c r="L1451" s="182" t="s">
        <v>155</v>
      </c>
      <c r="M1451" s="129"/>
      <c r="N1451" s="129"/>
      <c r="O1451" s="450"/>
      <c r="P1451" s="450"/>
      <c r="Q1451" s="450"/>
    </row>
    <row r="1452" spans="1:17" ht="15.6">
      <c r="A1452" s="505">
        <v>45882</v>
      </c>
      <c r="B1452" s="182" t="s">
        <v>3045</v>
      </c>
      <c r="C1452" s="182" t="s">
        <v>174</v>
      </c>
      <c r="D1452" s="182" t="s">
        <v>121</v>
      </c>
      <c r="E1452" s="182">
        <v>1000</v>
      </c>
      <c r="F1452" s="325">
        <f t="shared" si="13"/>
        <v>1.7827155035636482</v>
      </c>
      <c r="G1452" s="326">
        <v>560.94200000000001</v>
      </c>
      <c r="H1452" s="182" t="s">
        <v>317</v>
      </c>
      <c r="I1452" s="182" t="s">
        <v>2632</v>
      </c>
      <c r="J1452" s="182" t="s">
        <v>98</v>
      </c>
      <c r="K1452" s="129" t="s">
        <v>1902</v>
      </c>
      <c r="L1452" s="182" t="s">
        <v>155</v>
      </c>
      <c r="M1452" s="129"/>
      <c r="N1452" s="129"/>
      <c r="O1452" s="450"/>
      <c r="P1452" s="450"/>
      <c r="Q1452" s="450"/>
    </row>
    <row r="1453" spans="1:17" ht="15.6">
      <c r="A1453" s="505">
        <v>45882</v>
      </c>
      <c r="B1453" s="182" t="s">
        <v>3057</v>
      </c>
      <c r="C1453" s="182" t="s">
        <v>174</v>
      </c>
      <c r="D1453" s="182" t="s">
        <v>121</v>
      </c>
      <c r="E1453" s="182">
        <v>2000</v>
      </c>
      <c r="F1453" s="325">
        <f t="shared" si="13"/>
        <v>3.5654310071272963</v>
      </c>
      <c r="G1453" s="326">
        <v>560.94200000000001</v>
      </c>
      <c r="H1453" s="182" t="s">
        <v>317</v>
      </c>
      <c r="I1453" s="182" t="s">
        <v>2632</v>
      </c>
      <c r="J1453" s="182" t="s">
        <v>98</v>
      </c>
      <c r="K1453" s="129" t="s">
        <v>1902</v>
      </c>
      <c r="L1453" s="182" t="s">
        <v>155</v>
      </c>
      <c r="M1453" s="129"/>
      <c r="N1453" s="129"/>
      <c r="O1453" s="450"/>
      <c r="P1453" s="450"/>
      <c r="Q1453" s="450"/>
    </row>
    <row r="1454" spans="1:17" ht="15.6">
      <c r="A1454" s="505">
        <v>45882</v>
      </c>
      <c r="B1454" s="182" t="s">
        <v>2997</v>
      </c>
      <c r="C1454" s="182" t="s">
        <v>174</v>
      </c>
      <c r="D1454" s="182" t="s">
        <v>121</v>
      </c>
      <c r="E1454" s="496">
        <v>1500</v>
      </c>
      <c r="F1454" s="325">
        <f t="shared" si="13"/>
        <v>2.6740732553454722</v>
      </c>
      <c r="G1454" s="326">
        <v>560.94200000000001</v>
      </c>
      <c r="H1454" s="182" t="s">
        <v>323</v>
      </c>
      <c r="I1454" s="182" t="s">
        <v>2671</v>
      </c>
      <c r="J1454" s="182" t="s">
        <v>98</v>
      </c>
      <c r="K1454" s="129" t="s">
        <v>1902</v>
      </c>
      <c r="L1454" s="182" t="s">
        <v>155</v>
      </c>
      <c r="M1454" s="129"/>
      <c r="N1454" s="129"/>
      <c r="O1454" s="450"/>
      <c r="P1454" s="450"/>
      <c r="Q1454" s="450"/>
    </row>
    <row r="1455" spans="1:17" ht="15.6">
      <c r="A1455" s="505">
        <v>45882</v>
      </c>
      <c r="B1455" s="182" t="s">
        <v>2997</v>
      </c>
      <c r="C1455" s="182" t="s">
        <v>174</v>
      </c>
      <c r="D1455" s="182" t="s">
        <v>121</v>
      </c>
      <c r="E1455" s="496">
        <v>1500</v>
      </c>
      <c r="F1455" s="325">
        <f t="shared" si="13"/>
        <v>2.6740732553454722</v>
      </c>
      <c r="G1455" s="326">
        <v>560.94200000000001</v>
      </c>
      <c r="H1455" s="182" t="s">
        <v>323</v>
      </c>
      <c r="I1455" s="182" t="s">
        <v>2671</v>
      </c>
      <c r="J1455" s="182" t="s">
        <v>98</v>
      </c>
      <c r="K1455" s="129" t="s">
        <v>1902</v>
      </c>
      <c r="L1455" s="182" t="s">
        <v>155</v>
      </c>
      <c r="M1455" s="129"/>
      <c r="N1455" s="129"/>
      <c r="O1455" s="450"/>
      <c r="P1455" s="450"/>
      <c r="Q1455" s="450"/>
    </row>
    <row r="1456" spans="1:17" ht="15.6">
      <c r="A1456" s="505">
        <v>45882</v>
      </c>
      <c r="B1456" s="182" t="s">
        <v>3060</v>
      </c>
      <c r="C1456" s="182" t="s">
        <v>174</v>
      </c>
      <c r="D1456" s="182" t="s">
        <v>121</v>
      </c>
      <c r="E1456" s="496">
        <v>1000</v>
      </c>
      <c r="F1456" s="325">
        <f t="shared" si="13"/>
        <v>1.7827155035636482</v>
      </c>
      <c r="G1456" s="326">
        <v>560.94200000000001</v>
      </c>
      <c r="H1456" s="182" t="s">
        <v>323</v>
      </c>
      <c r="I1456" s="182" t="s">
        <v>2671</v>
      </c>
      <c r="J1456" s="182" t="s">
        <v>98</v>
      </c>
      <c r="K1456" s="129" t="s">
        <v>1902</v>
      </c>
      <c r="L1456" s="182" t="s">
        <v>155</v>
      </c>
      <c r="M1456" s="129"/>
      <c r="N1456" s="129"/>
      <c r="O1456" s="450"/>
      <c r="P1456" s="450"/>
      <c r="Q1456" s="450"/>
    </row>
    <row r="1457" spans="1:17" ht="15.6">
      <c r="A1457" s="505">
        <v>45882</v>
      </c>
      <c r="B1457" s="182" t="s">
        <v>2831</v>
      </c>
      <c r="C1457" s="182" t="s">
        <v>174</v>
      </c>
      <c r="D1457" s="182" t="s">
        <v>120</v>
      </c>
      <c r="E1457" s="496">
        <v>1000</v>
      </c>
      <c r="F1457" s="325">
        <f t="shared" si="13"/>
        <v>1.7827155035636482</v>
      </c>
      <c r="G1457" s="326">
        <v>560.94200000000001</v>
      </c>
      <c r="H1457" s="182" t="s">
        <v>213</v>
      </c>
      <c r="I1457" s="182" t="s">
        <v>2853</v>
      </c>
      <c r="J1457" s="182" t="s">
        <v>98</v>
      </c>
      <c r="K1457" s="129" t="s">
        <v>1902</v>
      </c>
      <c r="L1457" s="182" t="s">
        <v>155</v>
      </c>
      <c r="M1457" s="129"/>
      <c r="N1457" s="129"/>
      <c r="O1457" s="450"/>
      <c r="P1457" s="450"/>
      <c r="Q1457" s="450"/>
    </row>
    <row r="1458" spans="1:17" ht="15.6">
      <c r="A1458" s="505">
        <v>45882</v>
      </c>
      <c r="B1458" s="182" t="s">
        <v>2834</v>
      </c>
      <c r="C1458" s="182" t="s">
        <v>174</v>
      </c>
      <c r="D1458" s="182" t="s">
        <v>120</v>
      </c>
      <c r="E1458" s="496">
        <v>1000</v>
      </c>
      <c r="F1458" s="325">
        <f t="shared" si="13"/>
        <v>1.7827155035636482</v>
      </c>
      <c r="G1458" s="326">
        <v>560.94200000000001</v>
      </c>
      <c r="H1458" s="182" t="s">
        <v>213</v>
      </c>
      <c r="I1458" s="182" t="s">
        <v>2853</v>
      </c>
      <c r="J1458" s="182" t="s">
        <v>98</v>
      </c>
      <c r="K1458" s="129" t="s">
        <v>1902</v>
      </c>
      <c r="L1458" s="182" t="s">
        <v>155</v>
      </c>
      <c r="M1458" s="129"/>
      <c r="N1458" s="129"/>
      <c r="O1458" s="450"/>
      <c r="P1458" s="450"/>
      <c r="Q1458" s="450"/>
    </row>
    <row r="1459" spans="1:17" ht="15.6">
      <c r="A1459" s="508">
        <v>45882</v>
      </c>
      <c r="B1459" s="367" t="s">
        <v>2889</v>
      </c>
      <c r="C1459" s="182" t="s">
        <v>125</v>
      </c>
      <c r="D1459" s="439"/>
      <c r="E1459" s="435"/>
      <c r="F1459" s="325">
        <f t="shared" si="13"/>
        <v>0</v>
      </c>
      <c r="G1459" s="515">
        <f>+M1459/5000</f>
        <v>532.90200000000004</v>
      </c>
      <c r="H1459" s="182" t="s">
        <v>148</v>
      </c>
      <c r="I1459" s="182" t="s">
        <v>2936</v>
      </c>
      <c r="J1459" s="182" t="s">
        <v>98</v>
      </c>
      <c r="K1459" s="182" t="s">
        <v>2098</v>
      </c>
      <c r="L1459" s="182" t="s">
        <v>155</v>
      </c>
      <c r="M1459" s="553">
        <v>2664510</v>
      </c>
      <c r="N1459" s="129">
        <v>5000</v>
      </c>
      <c r="O1459" s="450"/>
      <c r="P1459" s="450"/>
      <c r="Q1459" s="450"/>
    </row>
    <row r="1460" spans="1:17" ht="15.6">
      <c r="A1460" s="508">
        <v>45882</v>
      </c>
      <c r="B1460" s="367" t="s">
        <v>2890</v>
      </c>
      <c r="C1460" s="182" t="s">
        <v>125</v>
      </c>
      <c r="D1460" s="444"/>
      <c r="E1460" s="435"/>
      <c r="F1460" s="325">
        <f t="shared" si="13"/>
        <v>0</v>
      </c>
      <c r="G1460" s="515">
        <f>+M1460/27000</f>
        <v>532.90192592592598</v>
      </c>
      <c r="H1460" s="182" t="s">
        <v>148</v>
      </c>
      <c r="I1460" s="182" t="s">
        <v>2937</v>
      </c>
      <c r="J1460" s="182" t="s">
        <v>98</v>
      </c>
      <c r="K1460" s="182" t="s">
        <v>1902</v>
      </c>
      <c r="L1460" s="182" t="s">
        <v>155</v>
      </c>
      <c r="M1460" s="553">
        <v>14388352</v>
      </c>
      <c r="N1460" s="129">
        <v>27000</v>
      </c>
      <c r="O1460" s="450"/>
      <c r="P1460" s="450"/>
      <c r="Q1460" s="450"/>
    </row>
    <row r="1461" spans="1:17" ht="15.6">
      <c r="A1461" s="535">
        <v>45883</v>
      </c>
      <c r="B1461" s="517" t="s">
        <v>2100</v>
      </c>
      <c r="C1461" s="308" t="s">
        <v>174</v>
      </c>
      <c r="D1461" s="308" t="s">
        <v>119</v>
      </c>
      <c r="E1461" s="517">
        <v>1000</v>
      </c>
      <c r="F1461" s="325">
        <f t="shared" si="13"/>
        <v>1.7827155035636482</v>
      </c>
      <c r="G1461" s="326">
        <v>560.94200000000001</v>
      </c>
      <c r="H1461" s="524" t="s">
        <v>153</v>
      </c>
      <c r="I1461" s="525" t="s">
        <v>2494</v>
      </c>
      <c r="J1461" s="182" t="s">
        <v>98</v>
      </c>
      <c r="K1461" s="129" t="s">
        <v>1902</v>
      </c>
      <c r="L1461" s="182" t="s">
        <v>155</v>
      </c>
      <c r="M1461" s="129"/>
      <c r="N1461" s="129"/>
      <c r="O1461" s="450"/>
      <c r="P1461" s="450"/>
      <c r="Q1461" s="450"/>
    </row>
    <row r="1462" spans="1:17" ht="15.6">
      <c r="A1462" s="536">
        <v>45883</v>
      </c>
      <c r="B1462" s="516" t="s">
        <v>2452</v>
      </c>
      <c r="C1462" s="516" t="s">
        <v>174</v>
      </c>
      <c r="D1462" s="516" t="s">
        <v>117</v>
      </c>
      <c r="E1462" s="526">
        <v>37000</v>
      </c>
      <c r="F1462" s="325">
        <f t="shared" si="13"/>
        <v>65.960473631854981</v>
      </c>
      <c r="G1462" s="326">
        <v>560.94200000000001</v>
      </c>
      <c r="H1462" s="177" t="s">
        <v>200</v>
      </c>
      <c r="I1462" s="516" t="s">
        <v>2488</v>
      </c>
      <c r="J1462" s="182" t="s">
        <v>98</v>
      </c>
      <c r="K1462" s="129" t="s">
        <v>1902</v>
      </c>
      <c r="L1462" s="182" t="s">
        <v>155</v>
      </c>
      <c r="M1462" s="129"/>
      <c r="N1462" s="129"/>
      <c r="O1462" s="450"/>
      <c r="P1462" s="450"/>
      <c r="Q1462" s="450"/>
    </row>
    <row r="1463" spans="1:17" ht="15.6">
      <c r="A1463" s="536">
        <v>45883</v>
      </c>
      <c r="B1463" s="516" t="s">
        <v>2453</v>
      </c>
      <c r="C1463" s="516" t="s">
        <v>174</v>
      </c>
      <c r="D1463" s="516" t="s">
        <v>117</v>
      </c>
      <c r="E1463" s="526">
        <v>2000</v>
      </c>
      <c r="F1463" s="325">
        <f t="shared" si="13"/>
        <v>3.5654310071272963</v>
      </c>
      <c r="G1463" s="326">
        <v>560.94200000000001</v>
      </c>
      <c r="H1463" s="177" t="s">
        <v>200</v>
      </c>
      <c r="I1463" s="516" t="s">
        <v>2489</v>
      </c>
      <c r="J1463" s="182" t="s">
        <v>98</v>
      </c>
      <c r="K1463" s="129" t="s">
        <v>1902</v>
      </c>
      <c r="L1463" s="182" t="s">
        <v>155</v>
      </c>
      <c r="M1463" s="129"/>
      <c r="N1463" s="129"/>
      <c r="O1463" s="450"/>
      <c r="P1463" s="450"/>
      <c r="Q1463" s="450"/>
    </row>
    <row r="1464" spans="1:17" ht="15.6">
      <c r="A1464" s="536">
        <v>45883</v>
      </c>
      <c r="B1464" s="516" t="s">
        <v>2454</v>
      </c>
      <c r="C1464" s="516" t="s">
        <v>174</v>
      </c>
      <c r="D1464" s="516" t="s">
        <v>117</v>
      </c>
      <c r="E1464" s="526">
        <v>500</v>
      </c>
      <c r="F1464" s="325">
        <f t="shared" si="13"/>
        <v>0.89135775178182408</v>
      </c>
      <c r="G1464" s="326">
        <v>560.94200000000001</v>
      </c>
      <c r="H1464" s="177" t="s">
        <v>200</v>
      </c>
      <c r="I1464" s="516" t="s">
        <v>2489</v>
      </c>
      <c r="J1464" s="182" t="s">
        <v>98</v>
      </c>
      <c r="K1464" s="129" t="s">
        <v>1902</v>
      </c>
      <c r="L1464" s="182" t="s">
        <v>155</v>
      </c>
      <c r="M1464" s="129"/>
      <c r="N1464" s="129"/>
      <c r="O1464" s="450"/>
      <c r="P1464" s="450"/>
      <c r="Q1464" s="450"/>
    </row>
    <row r="1465" spans="1:17" ht="15.6">
      <c r="A1465" s="467">
        <v>45883</v>
      </c>
      <c r="B1465" s="177" t="s">
        <v>2455</v>
      </c>
      <c r="C1465" s="177" t="s">
        <v>2456</v>
      </c>
      <c r="D1465" s="177" t="s">
        <v>117</v>
      </c>
      <c r="E1465" s="527">
        <v>190000</v>
      </c>
      <c r="F1465" s="325">
        <f t="shared" si="13"/>
        <v>338.71594567709315</v>
      </c>
      <c r="G1465" s="326">
        <v>560.94200000000001</v>
      </c>
      <c r="H1465" s="177" t="s">
        <v>200</v>
      </c>
      <c r="I1465" s="177" t="s">
        <v>2490</v>
      </c>
      <c r="J1465" s="182" t="s">
        <v>98</v>
      </c>
      <c r="K1465" s="129" t="s">
        <v>1902</v>
      </c>
      <c r="L1465" s="182" t="s">
        <v>155</v>
      </c>
      <c r="M1465" s="129"/>
      <c r="N1465" s="129"/>
      <c r="O1465" s="450"/>
      <c r="P1465" s="450"/>
      <c r="Q1465" s="450"/>
    </row>
    <row r="1466" spans="1:17" ht="15.6">
      <c r="A1466" s="504">
        <v>45883</v>
      </c>
      <c r="B1466" s="182" t="s">
        <v>2508</v>
      </c>
      <c r="C1466" s="182" t="s">
        <v>174</v>
      </c>
      <c r="D1466" s="182" t="s">
        <v>118</v>
      </c>
      <c r="E1466" s="435">
        <v>1000</v>
      </c>
      <c r="F1466" s="325">
        <f t="shared" si="13"/>
        <v>1.7827155035636482</v>
      </c>
      <c r="G1466" s="326">
        <v>560.94200000000001</v>
      </c>
      <c r="H1466" s="182" t="s">
        <v>583</v>
      </c>
      <c r="I1466" s="182" t="s">
        <v>2536</v>
      </c>
      <c r="J1466" s="182" t="s">
        <v>98</v>
      </c>
      <c r="K1466" s="129" t="s">
        <v>1902</v>
      </c>
      <c r="L1466" s="182" t="s">
        <v>155</v>
      </c>
      <c r="M1466" s="129"/>
      <c r="N1466" s="129"/>
      <c r="O1466" s="450"/>
      <c r="P1466" s="450"/>
      <c r="Q1466" s="450"/>
    </row>
    <row r="1467" spans="1:17" ht="15.6">
      <c r="A1467" s="504">
        <v>45883</v>
      </c>
      <c r="B1467" s="182" t="s">
        <v>2509</v>
      </c>
      <c r="C1467" s="182" t="s">
        <v>174</v>
      </c>
      <c r="D1467" s="182" t="s">
        <v>118</v>
      </c>
      <c r="E1467" s="435">
        <v>1000</v>
      </c>
      <c r="F1467" s="325">
        <f t="shared" si="13"/>
        <v>1.7827155035636482</v>
      </c>
      <c r="G1467" s="326">
        <v>560.94200000000001</v>
      </c>
      <c r="H1467" s="182" t="s">
        <v>583</v>
      </c>
      <c r="I1467" s="182" t="s">
        <v>2536</v>
      </c>
      <c r="J1467" s="182" t="s">
        <v>98</v>
      </c>
      <c r="K1467" s="129" t="s">
        <v>1902</v>
      </c>
      <c r="L1467" s="182" t="s">
        <v>155</v>
      </c>
      <c r="M1467" s="129"/>
      <c r="N1467" s="129"/>
      <c r="O1467" s="450"/>
      <c r="P1467" s="450"/>
      <c r="Q1467" s="450"/>
    </row>
    <row r="1468" spans="1:17" ht="15.6">
      <c r="A1468" s="504">
        <v>45883</v>
      </c>
      <c r="B1468" s="182" t="s">
        <v>2510</v>
      </c>
      <c r="C1468" s="182" t="s">
        <v>174</v>
      </c>
      <c r="D1468" s="182" t="s">
        <v>118</v>
      </c>
      <c r="E1468" s="435">
        <v>1000</v>
      </c>
      <c r="F1468" s="325">
        <f t="shared" si="13"/>
        <v>1.7827155035636482</v>
      </c>
      <c r="G1468" s="326">
        <v>560.94200000000001</v>
      </c>
      <c r="H1468" s="182" t="s">
        <v>583</v>
      </c>
      <c r="I1468" s="182" t="s">
        <v>2536</v>
      </c>
      <c r="J1468" s="182" t="s">
        <v>98</v>
      </c>
      <c r="K1468" s="129" t="s">
        <v>1902</v>
      </c>
      <c r="L1468" s="182" t="s">
        <v>155</v>
      </c>
      <c r="M1468" s="129"/>
      <c r="N1468" s="129"/>
      <c r="O1468" s="450"/>
      <c r="P1468" s="450"/>
      <c r="Q1468" s="450"/>
    </row>
    <row r="1469" spans="1:17" ht="15.6">
      <c r="A1469" s="504">
        <v>45883</v>
      </c>
      <c r="B1469" s="182" t="s">
        <v>2511</v>
      </c>
      <c r="C1469" s="182" t="s">
        <v>174</v>
      </c>
      <c r="D1469" s="182" t="s">
        <v>118</v>
      </c>
      <c r="E1469" s="435">
        <v>1000</v>
      </c>
      <c r="F1469" s="325">
        <f t="shared" si="13"/>
        <v>1.7827155035636482</v>
      </c>
      <c r="G1469" s="326">
        <v>560.94200000000001</v>
      </c>
      <c r="H1469" s="182" t="s">
        <v>583</v>
      </c>
      <c r="I1469" s="182" t="s">
        <v>2536</v>
      </c>
      <c r="J1469" s="182" t="s">
        <v>98</v>
      </c>
      <c r="K1469" s="129" t="s">
        <v>1902</v>
      </c>
      <c r="L1469" s="182" t="s">
        <v>155</v>
      </c>
      <c r="M1469" s="129"/>
      <c r="N1469" s="129"/>
      <c r="O1469" s="450"/>
      <c r="P1469" s="450"/>
      <c r="Q1469" s="450"/>
    </row>
    <row r="1470" spans="1:17" ht="15.6">
      <c r="A1470" s="506">
        <v>45883</v>
      </c>
      <c r="B1470" s="182" t="s">
        <v>2361</v>
      </c>
      <c r="C1470" s="182" t="s">
        <v>172</v>
      </c>
      <c r="D1470" s="182" t="s">
        <v>118</v>
      </c>
      <c r="E1470" s="435">
        <v>25000</v>
      </c>
      <c r="F1470" s="325">
        <f t="shared" si="13"/>
        <v>44.567887589091207</v>
      </c>
      <c r="G1470" s="326">
        <v>560.94200000000001</v>
      </c>
      <c r="H1470" s="520" t="s">
        <v>583</v>
      </c>
      <c r="I1470" s="520" t="s">
        <v>2362</v>
      </c>
      <c r="J1470" s="182" t="s">
        <v>98</v>
      </c>
      <c r="K1470" s="129" t="s">
        <v>1902</v>
      </c>
      <c r="L1470" s="182" t="s">
        <v>155</v>
      </c>
      <c r="M1470" s="129"/>
      <c r="N1470" s="129"/>
      <c r="O1470" s="450"/>
      <c r="P1470" s="450"/>
      <c r="Q1470" s="450"/>
    </row>
    <row r="1471" spans="1:17" ht="15.6">
      <c r="A1471" s="467">
        <v>45883</v>
      </c>
      <c r="B1471" s="177" t="s">
        <v>3024</v>
      </c>
      <c r="C1471" s="177" t="s">
        <v>174</v>
      </c>
      <c r="D1471" s="177" t="s">
        <v>121</v>
      </c>
      <c r="E1471" s="177">
        <v>37000</v>
      </c>
      <c r="F1471" s="325">
        <f t="shared" si="13"/>
        <v>65.960473631854981</v>
      </c>
      <c r="G1471" s="326">
        <v>560.94200000000001</v>
      </c>
      <c r="H1471" s="177" t="s">
        <v>184</v>
      </c>
      <c r="I1471" s="177" t="s">
        <v>2562</v>
      </c>
      <c r="J1471" s="182" t="s">
        <v>98</v>
      </c>
      <c r="K1471" s="129" t="s">
        <v>1902</v>
      </c>
      <c r="L1471" s="182" t="s">
        <v>155</v>
      </c>
      <c r="M1471" s="129"/>
      <c r="N1471" s="129"/>
      <c r="O1471" s="450"/>
      <c r="P1471" s="450"/>
      <c r="Q1471" s="450"/>
    </row>
    <row r="1472" spans="1:17" ht="15.6">
      <c r="A1472" s="467">
        <v>45883</v>
      </c>
      <c r="B1472" s="177" t="s">
        <v>3141</v>
      </c>
      <c r="C1472" s="177" t="s">
        <v>174</v>
      </c>
      <c r="D1472" s="177" t="s">
        <v>121</v>
      </c>
      <c r="E1472" s="177">
        <v>2500</v>
      </c>
      <c r="F1472" s="325">
        <f t="shared" si="13"/>
        <v>4.4567887589091209</v>
      </c>
      <c r="G1472" s="326">
        <v>560.94200000000001</v>
      </c>
      <c r="H1472" s="177" t="s">
        <v>184</v>
      </c>
      <c r="I1472" s="177" t="s">
        <v>2558</v>
      </c>
      <c r="J1472" s="182" t="s">
        <v>98</v>
      </c>
      <c r="K1472" s="129" t="s">
        <v>1902</v>
      </c>
      <c r="L1472" s="182" t="s">
        <v>155</v>
      </c>
      <c r="M1472" s="129"/>
      <c r="N1472" s="129"/>
      <c r="O1472" s="450"/>
      <c r="P1472" s="450"/>
      <c r="Q1472" s="450"/>
    </row>
    <row r="1473" spans="1:17" ht="15.6">
      <c r="A1473" s="467">
        <v>45883</v>
      </c>
      <c r="B1473" s="177" t="s">
        <v>3074</v>
      </c>
      <c r="C1473" s="177" t="s">
        <v>177</v>
      </c>
      <c r="D1473" s="177" t="s">
        <v>121</v>
      </c>
      <c r="E1473" s="177">
        <v>180000</v>
      </c>
      <c r="F1473" s="325">
        <f t="shared" si="13"/>
        <v>320.88879064145669</v>
      </c>
      <c r="G1473" s="326">
        <v>560.94200000000001</v>
      </c>
      <c r="H1473" s="177" t="s">
        <v>184</v>
      </c>
      <c r="I1473" s="177" t="s">
        <v>2563</v>
      </c>
      <c r="J1473" s="182" t="s">
        <v>98</v>
      </c>
      <c r="K1473" s="129" t="s">
        <v>1902</v>
      </c>
      <c r="L1473" s="182" t="s">
        <v>155</v>
      </c>
      <c r="M1473" s="129"/>
      <c r="N1473" s="129"/>
      <c r="O1473" s="450"/>
      <c r="P1473" s="450"/>
      <c r="Q1473" s="450"/>
    </row>
    <row r="1474" spans="1:17" ht="15.6">
      <c r="A1474" s="467">
        <v>45883</v>
      </c>
      <c r="B1474" s="177" t="s">
        <v>3142</v>
      </c>
      <c r="C1474" s="177" t="s">
        <v>174</v>
      </c>
      <c r="D1474" s="177" t="s">
        <v>121</v>
      </c>
      <c r="E1474" s="177">
        <v>1000</v>
      </c>
      <c r="F1474" s="325">
        <f t="shared" si="13"/>
        <v>1.7827155035636482</v>
      </c>
      <c r="G1474" s="326">
        <v>560.94200000000001</v>
      </c>
      <c r="H1474" s="177" t="s">
        <v>184</v>
      </c>
      <c r="I1474" s="177" t="s">
        <v>2558</v>
      </c>
      <c r="J1474" s="182" t="s">
        <v>98</v>
      </c>
      <c r="K1474" s="129" t="s">
        <v>1902</v>
      </c>
      <c r="L1474" s="182" t="s">
        <v>155</v>
      </c>
      <c r="M1474" s="129"/>
      <c r="N1474" s="129"/>
      <c r="O1474" s="450"/>
      <c r="P1474" s="450"/>
      <c r="Q1474" s="450"/>
    </row>
    <row r="1475" spans="1:17" ht="15.6">
      <c r="A1475" s="505">
        <v>45883</v>
      </c>
      <c r="B1475" s="182" t="s">
        <v>2993</v>
      </c>
      <c r="C1475" s="182" t="s">
        <v>174</v>
      </c>
      <c r="D1475" s="177" t="s">
        <v>121</v>
      </c>
      <c r="E1475" s="182">
        <v>37000</v>
      </c>
      <c r="F1475" s="325">
        <f t="shared" si="13"/>
        <v>65.960473631854981</v>
      </c>
      <c r="G1475" s="326">
        <v>560.94200000000001</v>
      </c>
      <c r="H1475" s="182" t="s">
        <v>175</v>
      </c>
      <c r="I1475" s="182" t="s">
        <v>2592</v>
      </c>
      <c r="J1475" s="182" t="s">
        <v>98</v>
      </c>
      <c r="K1475" s="129" t="s">
        <v>1902</v>
      </c>
      <c r="L1475" s="182" t="s">
        <v>155</v>
      </c>
      <c r="M1475" s="129"/>
      <c r="N1475" s="129"/>
      <c r="O1475" s="450"/>
      <c r="P1475" s="450"/>
      <c r="Q1475" s="450"/>
    </row>
    <row r="1476" spans="1:17" ht="15.6">
      <c r="A1476" s="505">
        <v>45883</v>
      </c>
      <c r="B1476" s="182" t="s">
        <v>2991</v>
      </c>
      <c r="C1476" s="182" t="s">
        <v>2456</v>
      </c>
      <c r="D1476" s="177" t="s">
        <v>121</v>
      </c>
      <c r="E1476" s="182">
        <v>180000</v>
      </c>
      <c r="F1476" s="325">
        <f t="shared" si="13"/>
        <v>320.88879064145669</v>
      </c>
      <c r="G1476" s="326">
        <v>560.94200000000001</v>
      </c>
      <c r="H1476" s="182" t="s">
        <v>175</v>
      </c>
      <c r="I1476" s="182" t="s">
        <v>2593</v>
      </c>
      <c r="J1476" s="182" t="s">
        <v>98</v>
      </c>
      <c r="K1476" s="129" t="s">
        <v>1902</v>
      </c>
      <c r="L1476" s="182" t="s">
        <v>155</v>
      </c>
      <c r="M1476" s="129"/>
      <c r="N1476" s="129"/>
      <c r="O1476" s="450"/>
      <c r="P1476" s="450"/>
      <c r="Q1476" s="450"/>
    </row>
    <row r="1477" spans="1:17" ht="15.6">
      <c r="A1477" s="505">
        <v>45883</v>
      </c>
      <c r="B1477" s="182" t="s">
        <v>3080</v>
      </c>
      <c r="C1477" s="182" t="s">
        <v>1006</v>
      </c>
      <c r="D1477" s="177" t="s">
        <v>121</v>
      </c>
      <c r="E1477" s="182">
        <v>2000</v>
      </c>
      <c r="F1477" s="325">
        <f t="shared" si="13"/>
        <v>3.5654310071272963</v>
      </c>
      <c r="G1477" s="326">
        <v>560.94200000000001</v>
      </c>
      <c r="H1477" s="182" t="s">
        <v>175</v>
      </c>
      <c r="I1477" s="182" t="s">
        <v>2588</v>
      </c>
      <c r="J1477" s="182" t="s">
        <v>98</v>
      </c>
      <c r="K1477" s="129" t="s">
        <v>1902</v>
      </c>
      <c r="L1477" s="182" t="s">
        <v>155</v>
      </c>
      <c r="M1477" s="129"/>
      <c r="N1477" s="129"/>
      <c r="O1477" s="450"/>
      <c r="P1477" s="450"/>
      <c r="Q1477" s="450"/>
    </row>
    <row r="1478" spans="1:17" ht="15.6">
      <c r="A1478" s="505">
        <v>45883</v>
      </c>
      <c r="B1478" s="182" t="s">
        <v>2997</v>
      </c>
      <c r="C1478" s="182" t="s">
        <v>1006</v>
      </c>
      <c r="D1478" s="177" t="s">
        <v>121</v>
      </c>
      <c r="E1478" s="182">
        <v>500</v>
      </c>
      <c r="F1478" s="325">
        <f t="shared" si="13"/>
        <v>0.89135775178182408</v>
      </c>
      <c r="G1478" s="326">
        <v>560.94200000000001</v>
      </c>
      <c r="H1478" s="182" t="s">
        <v>175</v>
      </c>
      <c r="I1478" s="182" t="s">
        <v>2588</v>
      </c>
      <c r="J1478" s="182" t="s">
        <v>98</v>
      </c>
      <c r="K1478" s="129" t="s">
        <v>1902</v>
      </c>
      <c r="L1478" s="182" t="s">
        <v>155</v>
      </c>
      <c r="M1478" s="129"/>
      <c r="N1478" s="129"/>
      <c r="O1478" s="450"/>
      <c r="P1478" s="450"/>
      <c r="Q1478" s="450"/>
    </row>
    <row r="1479" spans="1:17" ht="15.6">
      <c r="A1479" s="503">
        <v>45883</v>
      </c>
      <c r="B1479" s="182" t="s">
        <v>2769</v>
      </c>
      <c r="C1479" s="517" t="s">
        <v>196</v>
      </c>
      <c r="D1479" s="517" t="s">
        <v>117</v>
      </c>
      <c r="E1479" s="496">
        <v>37000</v>
      </c>
      <c r="F1479" s="325">
        <f t="shared" si="13"/>
        <v>65.960473631854981</v>
      </c>
      <c r="G1479" s="326">
        <v>560.94200000000001</v>
      </c>
      <c r="H1479" s="517" t="s">
        <v>437</v>
      </c>
      <c r="I1479" s="182" t="s">
        <v>2816</v>
      </c>
      <c r="J1479" s="182" t="s">
        <v>98</v>
      </c>
      <c r="K1479" s="129" t="s">
        <v>1902</v>
      </c>
      <c r="L1479" s="182" t="s">
        <v>155</v>
      </c>
      <c r="M1479" s="129"/>
      <c r="N1479" s="129"/>
      <c r="O1479" s="450"/>
      <c r="P1479" s="450"/>
      <c r="Q1479" s="450"/>
    </row>
    <row r="1480" spans="1:17" ht="15.6">
      <c r="A1480" s="503">
        <v>45883</v>
      </c>
      <c r="B1480" s="182" t="s">
        <v>2770</v>
      </c>
      <c r="C1480" s="517" t="s">
        <v>196</v>
      </c>
      <c r="D1480" s="517" t="s">
        <v>117</v>
      </c>
      <c r="E1480" s="496">
        <v>2500</v>
      </c>
      <c r="F1480" s="325">
        <f t="shared" si="13"/>
        <v>4.4567887589091209</v>
      </c>
      <c r="G1480" s="326">
        <v>560.94200000000001</v>
      </c>
      <c r="H1480" s="517" t="s">
        <v>437</v>
      </c>
      <c r="I1480" s="182" t="s">
        <v>2817</v>
      </c>
      <c r="J1480" s="182" t="s">
        <v>98</v>
      </c>
      <c r="K1480" s="129" t="s">
        <v>1902</v>
      </c>
      <c r="L1480" s="182" t="s">
        <v>155</v>
      </c>
      <c r="M1480" s="129"/>
      <c r="N1480" s="129"/>
      <c r="O1480" s="450"/>
      <c r="P1480" s="450"/>
      <c r="Q1480" s="450"/>
    </row>
    <row r="1481" spans="1:17" ht="15.6">
      <c r="A1481" s="503">
        <v>45883</v>
      </c>
      <c r="B1481" s="182" t="s">
        <v>2771</v>
      </c>
      <c r="C1481" s="517" t="s">
        <v>196</v>
      </c>
      <c r="D1481" s="517" t="s">
        <v>117</v>
      </c>
      <c r="E1481" s="496">
        <v>500</v>
      </c>
      <c r="F1481" s="325">
        <f t="shared" si="13"/>
        <v>0.89135775178182408</v>
      </c>
      <c r="G1481" s="326">
        <v>560.94200000000001</v>
      </c>
      <c r="H1481" s="517" t="s">
        <v>437</v>
      </c>
      <c r="I1481" s="182" t="s">
        <v>2817</v>
      </c>
      <c r="J1481" s="182" t="s">
        <v>98</v>
      </c>
      <c r="K1481" s="129" t="s">
        <v>1902</v>
      </c>
      <c r="L1481" s="182" t="s">
        <v>155</v>
      </c>
      <c r="M1481" s="129"/>
      <c r="N1481" s="129"/>
      <c r="O1481" s="450"/>
      <c r="P1481" s="450"/>
      <c r="Q1481" s="450"/>
    </row>
    <row r="1482" spans="1:17" ht="15.6">
      <c r="A1482" s="503">
        <v>45883</v>
      </c>
      <c r="B1482" s="182" t="s">
        <v>2772</v>
      </c>
      <c r="C1482" s="182" t="s">
        <v>177</v>
      </c>
      <c r="D1482" s="182" t="s">
        <v>117</v>
      </c>
      <c r="E1482" s="496">
        <v>190000</v>
      </c>
      <c r="F1482" s="325">
        <f t="shared" si="13"/>
        <v>338.71594567709315</v>
      </c>
      <c r="G1482" s="326">
        <v>560.94200000000001</v>
      </c>
      <c r="H1482" s="517" t="s">
        <v>437</v>
      </c>
      <c r="I1482" s="182" t="s">
        <v>2818</v>
      </c>
      <c r="J1482" s="182" t="s">
        <v>98</v>
      </c>
      <c r="K1482" s="129" t="s">
        <v>1902</v>
      </c>
      <c r="L1482" s="182" t="s">
        <v>155</v>
      </c>
      <c r="M1482" s="129"/>
      <c r="N1482" s="129"/>
      <c r="O1482" s="450"/>
      <c r="P1482" s="450"/>
      <c r="Q1482" s="450"/>
    </row>
    <row r="1483" spans="1:17" ht="15.6">
      <c r="A1483" s="505">
        <v>45883</v>
      </c>
      <c r="B1483" s="182" t="s">
        <v>2833</v>
      </c>
      <c r="C1483" s="182" t="s">
        <v>174</v>
      </c>
      <c r="D1483" s="182" t="s">
        <v>120</v>
      </c>
      <c r="E1483" s="496">
        <v>37000</v>
      </c>
      <c r="F1483" s="325">
        <f t="shared" si="13"/>
        <v>65.960473631854981</v>
      </c>
      <c r="G1483" s="326">
        <v>560.94200000000001</v>
      </c>
      <c r="H1483" s="182" t="s">
        <v>213</v>
      </c>
      <c r="I1483" s="182" t="s">
        <v>2855</v>
      </c>
      <c r="J1483" s="182" t="s">
        <v>98</v>
      </c>
      <c r="K1483" s="129" t="s">
        <v>1902</v>
      </c>
      <c r="L1483" s="182" t="s">
        <v>155</v>
      </c>
      <c r="M1483" s="129"/>
      <c r="N1483" s="129"/>
      <c r="O1483" s="450"/>
      <c r="P1483" s="450"/>
      <c r="Q1483" s="450"/>
    </row>
    <row r="1484" spans="1:17" ht="15.6">
      <c r="A1484" s="505">
        <v>45883</v>
      </c>
      <c r="B1484" s="182" t="s">
        <v>2835</v>
      </c>
      <c r="C1484" s="182" t="s">
        <v>174</v>
      </c>
      <c r="D1484" s="182" t="s">
        <v>120</v>
      </c>
      <c r="E1484" s="496">
        <v>1000</v>
      </c>
      <c r="F1484" s="325">
        <f t="shared" si="13"/>
        <v>1.7827155035636482</v>
      </c>
      <c r="G1484" s="326">
        <v>560.94200000000001</v>
      </c>
      <c r="H1484" s="182" t="s">
        <v>213</v>
      </c>
      <c r="I1484" s="182" t="s">
        <v>2853</v>
      </c>
      <c r="J1484" s="182" t="s">
        <v>98</v>
      </c>
      <c r="K1484" s="129" t="s">
        <v>1902</v>
      </c>
      <c r="L1484" s="182" t="s">
        <v>155</v>
      </c>
      <c r="M1484" s="129"/>
      <c r="N1484" s="129"/>
      <c r="O1484" s="450"/>
      <c r="P1484" s="450"/>
      <c r="Q1484" s="450"/>
    </row>
    <row r="1485" spans="1:17" ht="15.6">
      <c r="A1485" s="505">
        <v>45883</v>
      </c>
      <c r="B1485" s="182" t="s">
        <v>2836</v>
      </c>
      <c r="C1485" s="182" t="s">
        <v>174</v>
      </c>
      <c r="D1485" s="182" t="s">
        <v>120</v>
      </c>
      <c r="E1485" s="496">
        <v>500</v>
      </c>
      <c r="F1485" s="325">
        <f t="shared" si="13"/>
        <v>0.89135775178182408</v>
      </c>
      <c r="G1485" s="326">
        <v>560.94200000000001</v>
      </c>
      <c r="H1485" s="182" t="s">
        <v>213</v>
      </c>
      <c r="I1485" s="182" t="s">
        <v>2853</v>
      </c>
      <c r="J1485" s="182" t="s">
        <v>98</v>
      </c>
      <c r="K1485" s="129" t="s">
        <v>1902</v>
      </c>
      <c r="L1485" s="182" t="s">
        <v>155</v>
      </c>
      <c r="M1485" s="129"/>
      <c r="N1485" s="129"/>
      <c r="O1485" s="450"/>
      <c r="P1485" s="450"/>
      <c r="Q1485" s="450"/>
    </row>
    <row r="1486" spans="1:17" ht="15.6">
      <c r="A1486" s="505">
        <v>45883</v>
      </c>
      <c r="B1486" s="182" t="s">
        <v>2837</v>
      </c>
      <c r="C1486" s="182" t="s">
        <v>177</v>
      </c>
      <c r="D1486" s="182" t="s">
        <v>120</v>
      </c>
      <c r="E1486" s="496">
        <v>200000</v>
      </c>
      <c r="F1486" s="325">
        <f t="shared" si="13"/>
        <v>356.54310071272965</v>
      </c>
      <c r="G1486" s="326">
        <v>560.94200000000001</v>
      </c>
      <c r="H1486" s="182" t="s">
        <v>213</v>
      </c>
      <c r="I1486" s="182" t="s">
        <v>2856</v>
      </c>
      <c r="J1486" s="182" t="s">
        <v>98</v>
      </c>
      <c r="K1486" s="129" t="s">
        <v>1902</v>
      </c>
      <c r="L1486" s="182" t="s">
        <v>155</v>
      </c>
      <c r="M1486" s="129"/>
      <c r="N1486" s="129"/>
      <c r="O1486" s="450"/>
      <c r="P1486" s="450"/>
      <c r="Q1486" s="450"/>
    </row>
    <row r="1487" spans="1:17" ht="15.6">
      <c r="A1487" s="505">
        <v>45883</v>
      </c>
      <c r="B1487" s="182" t="s">
        <v>2867</v>
      </c>
      <c r="C1487" s="182" t="s">
        <v>174</v>
      </c>
      <c r="D1487" s="182" t="s">
        <v>117</v>
      </c>
      <c r="E1487" s="182">
        <v>1500</v>
      </c>
      <c r="F1487" s="325">
        <f t="shared" si="13"/>
        <v>2.6740732553454722</v>
      </c>
      <c r="G1487" s="326">
        <v>560.94200000000001</v>
      </c>
      <c r="H1487" s="182" t="s">
        <v>187</v>
      </c>
      <c r="I1487" s="182" t="s">
        <v>2880</v>
      </c>
      <c r="J1487" s="182" t="s">
        <v>98</v>
      </c>
      <c r="K1487" s="129" t="s">
        <v>1902</v>
      </c>
      <c r="L1487" s="182" t="s">
        <v>155</v>
      </c>
      <c r="M1487" s="129"/>
      <c r="N1487" s="129"/>
      <c r="O1487" s="450"/>
      <c r="P1487" s="450"/>
      <c r="Q1487" s="450"/>
    </row>
    <row r="1488" spans="1:17" ht="15.6">
      <c r="A1488" s="505">
        <v>45883</v>
      </c>
      <c r="B1488" s="182" t="s">
        <v>2868</v>
      </c>
      <c r="C1488" s="182" t="s">
        <v>174</v>
      </c>
      <c r="D1488" s="182" t="s">
        <v>117</v>
      </c>
      <c r="E1488" s="182">
        <v>1500</v>
      </c>
      <c r="F1488" s="325">
        <f t="shared" si="13"/>
        <v>2.6740732553454722</v>
      </c>
      <c r="G1488" s="326">
        <v>560.94200000000001</v>
      </c>
      <c r="H1488" s="182" t="s">
        <v>187</v>
      </c>
      <c r="I1488" s="182" t="s">
        <v>2880</v>
      </c>
      <c r="J1488" s="182" t="s">
        <v>98</v>
      </c>
      <c r="K1488" s="129" t="s">
        <v>1902</v>
      </c>
      <c r="L1488" s="182" t="s">
        <v>155</v>
      </c>
      <c r="M1488" s="129"/>
      <c r="N1488" s="129"/>
      <c r="O1488" s="450"/>
      <c r="P1488" s="450"/>
      <c r="Q1488" s="450"/>
    </row>
    <row r="1489" spans="1:17" ht="15.6">
      <c r="A1489" s="508">
        <v>45883</v>
      </c>
      <c r="B1489" s="367" t="s">
        <v>2892</v>
      </c>
      <c r="C1489" s="439" t="s">
        <v>127</v>
      </c>
      <c r="D1489" s="444" t="s">
        <v>119</v>
      </c>
      <c r="E1489" s="435">
        <v>1311000</v>
      </c>
      <c r="F1489" s="325">
        <f t="shared" si="13"/>
        <v>2337.1400251719429</v>
      </c>
      <c r="G1489" s="326">
        <v>560.94200000000001</v>
      </c>
      <c r="H1489" s="182" t="s">
        <v>148</v>
      </c>
      <c r="I1489" s="182" t="s">
        <v>2914</v>
      </c>
      <c r="J1489" s="182" t="s">
        <v>98</v>
      </c>
      <c r="K1489" s="129" t="s">
        <v>1902</v>
      </c>
      <c r="L1489" s="182" t="s">
        <v>155</v>
      </c>
      <c r="M1489" s="129"/>
      <c r="N1489" s="129"/>
      <c r="O1489" s="450"/>
      <c r="P1489" s="450"/>
      <c r="Q1489" s="450"/>
    </row>
    <row r="1490" spans="1:17" ht="15.6">
      <c r="A1490" s="508">
        <v>45883</v>
      </c>
      <c r="B1490" s="367" t="s">
        <v>2893</v>
      </c>
      <c r="C1490" s="182" t="s">
        <v>123</v>
      </c>
      <c r="D1490" s="182" t="s">
        <v>117</v>
      </c>
      <c r="E1490" s="435">
        <v>300000</v>
      </c>
      <c r="F1490" s="325">
        <f t="shared" si="13"/>
        <v>534.81465106909445</v>
      </c>
      <c r="G1490" s="326">
        <v>560.94200000000001</v>
      </c>
      <c r="H1490" s="182" t="s">
        <v>148</v>
      </c>
      <c r="I1490" s="182" t="s">
        <v>2915</v>
      </c>
      <c r="J1490" s="182" t="s">
        <v>98</v>
      </c>
      <c r="K1490" s="129" t="s">
        <v>1902</v>
      </c>
      <c r="L1490" s="182" t="s">
        <v>155</v>
      </c>
      <c r="M1490" s="129"/>
      <c r="N1490" s="129"/>
      <c r="O1490" s="450"/>
      <c r="P1490" s="450"/>
      <c r="Q1490" s="450"/>
    </row>
    <row r="1491" spans="1:17" ht="15.6">
      <c r="A1491" s="467">
        <v>45884</v>
      </c>
      <c r="B1491" s="177" t="s">
        <v>2457</v>
      </c>
      <c r="C1491" s="177" t="s">
        <v>2456</v>
      </c>
      <c r="D1491" s="177" t="s">
        <v>117</v>
      </c>
      <c r="E1491" s="527">
        <v>15000</v>
      </c>
      <c r="F1491" s="325">
        <f t="shared" si="13"/>
        <v>26.740732553454723</v>
      </c>
      <c r="G1491" s="326">
        <v>560.94200000000001</v>
      </c>
      <c r="H1491" s="177" t="s">
        <v>200</v>
      </c>
      <c r="I1491" s="516" t="s">
        <v>2979</v>
      </c>
      <c r="J1491" s="182" t="s">
        <v>98</v>
      </c>
      <c r="K1491" s="129" t="s">
        <v>1902</v>
      </c>
      <c r="L1491" s="182" t="s">
        <v>155</v>
      </c>
      <c r="M1491" s="129"/>
      <c r="N1491" s="129"/>
      <c r="O1491" s="450"/>
      <c r="P1491" s="450"/>
      <c r="Q1491" s="450"/>
    </row>
    <row r="1492" spans="1:17" ht="15.6">
      <c r="A1492" s="536">
        <v>45884</v>
      </c>
      <c r="B1492" s="516" t="s">
        <v>2458</v>
      </c>
      <c r="C1492" s="516" t="s">
        <v>174</v>
      </c>
      <c r="D1492" s="516" t="s">
        <v>117</v>
      </c>
      <c r="E1492" s="526">
        <v>500</v>
      </c>
      <c r="F1492" s="325">
        <f t="shared" si="13"/>
        <v>0.89135775178182408</v>
      </c>
      <c r="G1492" s="326">
        <v>560.94200000000001</v>
      </c>
      <c r="H1492" s="177" t="s">
        <v>200</v>
      </c>
      <c r="I1492" s="516" t="s">
        <v>2489</v>
      </c>
      <c r="J1492" s="182" t="s">
        <v>98</v>
      </c>
      <c r="K1492" s="129" t="s">
        <v>1902</v>
      </c>
      <c r="L1492" s="182" t="s">
        <v>155</v>
      </c>
      <c r="M1492" s="129"/>
      <c r="N1492" s="129"/>
      <c r="O1492" s="450"/>
      <c r="P1492" s="450"/>
      <c r="Q1492" s="450"/>
    </row>
    <row r="1493" spans="1:17" ht="15.6">
      <c r="A1493" s="536">
        <v>45884</v>
      </c>
      <c r="B1493" s="516" t="s">
        <v>2459</v>
      </c>
      <c r="C1493" s="516" t="s">
        <v>174</v>
      </c>
      <c r="D1493" s="516" t="s">
        <v>117</v>
      </c>
      <c r="E1493" s="526">
        <v>500</v>
      </c>
      <c r="F1493" s="325">
        <f t="shared" si="13"/>
        <v>0.89135775178182408</v>
      </c>
      <c r="G1493" s="326">
        <v>560.94200000000001</v>
      </c>
      <c r="H1493" s="177" t="s">
        <v>200</v>
      </c>
      <c r="I1493" s="516" t="s">
        <v>2489</v>
      </c>
      <c r="J1493" s="182" t="s">
        <v>98</v>
      </c>
      <c r="K1493" s="129" t="s">
        <v>1902</v>
      </c>
      <c r="L1493" s="182" t="s">
        <v>155</v>
      </c>
      <c r="M1493" s="129"/>
      <c r="N1493" s="129"/>
      <c r="O1493" s="450"/>
      <c r="P1493" s="450"/>
      <c r="Q1493" s="450"/>
    </row>
    <row r="1494" spans="1:17" ht="15.6">
      <c r="A1494" s="503">
        <v>45884</v>
      </c>
      <c r="B1494" s="182" t="s">
        <v>2460</v>
      </c>
      <c r="C1494" s="517" t="s">
        <v>152</v>
      </c>
      <c r="D1494" s="517" t="s">
        <v>117</v>
      </c>
      <c r="E1494" s="526">
        <v>5000</v>
      </c>
      <c r="F1494" s="325">
        <f t="shared" si="13"/>
        <v>8.9135775178182417</v>
      </c>
      <c r="G1494" s="326">
        <v>560.94200000000001</v>
      </c>
      <c r="H1494" s="177" t="s">
        <v>200</v>
      </c>
      <c r="I1494" s="516" t="s">
        <v>2980</v>
      </c>
      <c r="J1494" s="182" t="s">
        <v>98</v>
      </c>
      <c r="K1494" s="129" t="s">
        <v>1902</v>
      </c>
      <c r="L1494" s="182" t="s">
        <v>155</v>
      </c>
      <c r="M1494" s="129"/>
      <c r="N1494" s="129"/>
      <c r="O1494" s="450"/>
      <c r="P1494" s="450"/>
      <c r="Q1494" s="450"/>
    </row>
    <row r="1495" spans="1:17" ht="15.6">
      <c r="A1495" s="504">
        <v>45884</v>
      </c>
      <c r="B1495" s="182" t="s">
        <v>2512</v>
      </c>
      <c r="C1495" s="182" t="s">
        <v>174</v>
      </c>
      <c r="D1495" s="182" t="s">
        <v>118</v>
      </c>
      <c r="E1495" s="435">
        <v>1500</v>
      </c>
      <c r="F1495" s="325">
        <f t="shared" si="13"/>
        <v>2.6740732553454722</v>
      </c>
      <c r="G1495" s="326">
        <v>560.94200000000001</v>
      </c>
      <c r="H1495" s="182" t="s">
        <v>583</v>
      </c>
      <c r="I1495" s="182" t="s">
        <v>2536</v>
      </c>
      <c r="J1495" s="182" t="s">
        <v>98</v>
      </c>
      <c r="K1495" s="129" t="s">
        <v>1902</v>
      </c>
      <c r="L1495" s="182" t="s">
        <v>155</v>
      </c>
      <c r="M1495" s="129"/>
      <c r="N1495" s="129"/>
      <c r="O1495" s="450"/>
      <c r="P1495" s="450"/>
      <c r="Q1495" s="450"/>
    </row>
    <row r="1496" spans="1:17" ht="15.6">
      <c r="A1496" s="504">
        <v>45884</v>
      </c>
      <c r="B1496" s="182" t="s">
        <v>2513</v>
      </c>
      <c r="C1496" s="182" t="s">
        <v>174</v>
      </c>
      <c r="D1496" s="182" t="s">
        <v>118</v>
      </c>
      <c r="E1496" s="435">
        <v>1500</v>
      </c>
      <c r="F1496" s="325">
        <f t="shared" si="13"/>
        <v>2.6740732553454722</v>
      </c>
      <c r="G1496" s="326">
        <v>560.94200000000001</v>
      </c>
      <c r="H1496" s="182" t="s">
        <v>583</v>
      </c>
      <c r="I1496" s="182" t="s">
        <v>2536</v>
      </c>
      <c r="J1496" s="182" t="s">
        <v>98</v>
      </c>
      <c r="K1496" s="129" t="s">
        <v>1902</v>
      </c>
      <c r="L1496" s="182" t="s">
        <v>155</v>
      </c>
      <c r="M1496" s="129"/>
      <c r="N1496" s="129"/>
      <c r="O1496" s="450"/>
      <c r="P1496" s="450"/>
      <c r="Q1496" s="450"/>
    </row>
    <row r="1497" spans="1:17" ht="15.6">
      <c r="A1497" s="467">
        <v>45884</v>
      </c>
      <c r="B1497" s="177" t="s">
        <v>3143</v>
      </c>
      <c r="C1497" s="177" t="s">
        <v>174</v>
      </c>
      <c r="D1497" s="177" t="s">
        <v>121</v>
      </c>
      <c r="E1497" s="177">
        <v>1000</v>
      </c>
      <c r="F1497" s="325">
        <f t="shared" si="13"/>
        <v>1.7827155035636482</v>
      </c>
      <c r="G1497" s="326">
        <v>560.94200000000001</v>
      </c>
      <c r="H1497" s="177" t="s">
        <v>184</v>
      </c>
      <c r="I1497" s="177" t="s">
        <v>2558</v>
      </c>
      <c r="J1497" s="182" t="s">
        <v>98</v>
      </c>
      <c r="K1497" s="129" t="s">
        <v>1902</v>
      </c>
      <c r="L1497" s="182" t="s">
        <v>155</v>
      </c>
      <c r="M1497" s="129"/>
      <c r="N1497" s="129"/>
      <c r="O1497" s="450"/>
      <c r="P1497" s="450"/>
      <c r="Q1497" s="450"/>
    </row>
    <row r="1498" spans="1:17" ht="15.6">
      <c r="A1498" s="467">
        <v>45884</v>
      </c>
      <c r="B1498" s="177" t="s">
        <v>3026</v>
      </c>
      <c r="C1498" s="177" t="s">
        <v>177</v>
      </c>
      <c r="D1498" s="177" t="s">
        <v>121</v>
      </c>
      <c r="E1498" s="177">
        <v>15000</v>
      </c>
      <c r="F1498" s="325">
        <f t="shared" si="13"/>
        <v>26.740732553454723</v>
      </c>
      <c r="G1498" s="326">
        <v>560.94200000000001</v>
      </c>
      <c r="H1498" s="177" t="s">
        <v>184</v>
      </c>
      <c r="I1498" s="177" t="s">
        <v>2564</v>
      </c>
      <c r="J1498" s="182" t="s">
        <v>98</v>
      </c>
      <c r="K1498" s="129" t="s">
        <v>1902</v>
      </c>
      <c r="L1498" s="182" t="s">
        <v>155</v>
      </c>
      <c r="M1498" s="129"/>
      <c r="N1498" s="129"/>
      <c r="O1498" s="450"/>
      <c r="P1498" s="450"/>
      <c r="Q1498" s="450"/>
    </row>
    <row r="1499" spans="1:17" ht="15.6">
      <c r="A1499" s="467">
        <v>45884</v>
      </c>
      <c r="B1499" s="177" t="s">
        <v>3039</v>
      </c>
      <c r="C1499" s="177" t="s">
        <v>174</v>
      </c>
      <c r="D1499" s="177" t="s">
        <v>121</v>
      </c>
      <c r="E1499" s="177">
        <v>1000</v>
      </c>
      <c r="F1499" s="325">
        <f t="shared" si="13"/>
        <v>1.7827155035636482</v>
      </c>
      <c r="G1499" s="326">
        <v>560.94200000000001</v>
      </c>
      <c r="H1499" s="177" t="s">
        <v>184</v>
      </c>
      <c r="I1499" s="177" t="s">
        <v>2558</v>
      </c>
      <c r="J1499" s="182" t="s">
        <v>98</v>
      </c>
      <c r="K1499" s="129" t="s">
        <v>1902</v>
      </c>
      <c r="L1499" s="182" t="s">
        <v>155</v>
      </c>
      <c r="M1499" s="129"/>
      <c r="N1499" s="129"/>
      <c r="O1499" s="450"/>
      <c r="P1499" s="450"/>
      <c r="Q1499" s="450"/>
    </row>
    <row r="1500" spans="1:17" ht="15.6">
      <c r="A1500" s="467">
        <v>45884</v>
      </c>
      <c r="B1500" s="177" t="s">
        <v>2550</v>
      </c>
      <c r="C1500" s="177" t="s">
        <v>152</v>
      </c>
      <c r="D1500" s="177" t="s">
        <v>2551</v>
      </c>
      <c r="E1500" s="177">
        <v>5000</v>
      </c>
      <c r="F1500" s="325">
        <f t="shared" si="13"/>
        <v>8.9135775178182417</v>
      </c>
      <c r="G1500" s="326">
        <v>560.94200000000001</v>
      </c>
      <c r="H1500" s="177" t="s">
        <v>184</v>
      </c>
      <c r="I1500" s="177" t="s">
        <v>2565</v>
      </c>
      <c r="J1500" s="182" t="s">
        <v>98</v>
      </c>
      <c r="K1500" s="129" t="s">
        <v>1902</v>
      </c>
      <c r="L1500" s="182" t="s">
        <v>155</v>
      </c>
      <c r="M1500" s="129"/>
      <c r="N1500" s="129"/>
      <c r="O1500" s="450"/>
      <c r="P1500" s="450"/>
      <c r="Q1500" s="450"/>
    </row>
    <row r="1501" spans="1:17" ht="15.6">
      <c r="A1501" s="505">
        <v>45884</v>
      </c>
      <c r="B1501" s="182" t="s">
        <v>3082</v>
      </c>
      <c r="C1501" s="182" t="s">
        <v>2456</v>
      </c>
      <c r="D1501" s="177" t="s">
        <v>121</v>
      </c>
      <c r="E1501" s="182">
        <v>15000</v>
      </c>
      <c r="F1501" s="325">
        <f t="shared" si="13"/>
        <v>26.740732553454723</v>
      </c>
      <c r="G1501" s="326">
        <v>560.94200000000001</v>
      </c>
      <c r="H1501" s="182" t="s">
        <v>175</v>
      </c>
      <c r="I1501" s="182" t="s">
        <v>2594</v>
      </c>
      <c r="J1501" s="182" t="s">
        <v>98</v>
      </c>
      <c r="K1501" s="129" t="s">
        <v>1902</v>
      </c>
      <c r="L1501" s="182" t="s">
        <v>155</v>
      </c>
      <c r="M1501" s="129"/>
      <c r="N1501" s="129"/>
      <c r="O1501" s="450"/>
      <c r="P1501" s="450"/>
      <c r="Q1501" s="450"/>
    </row>
    <row r="1502" spans="1:17" ht="15.6">
      <c r="A1502" s="505">
        <v>45884</v>
      </c>
      <c r="B1502" s="182" t="s">
        <v>3144</v>
      </c>
      <c r="C1502" s="182" t="s">
        <v>174</v>
      </c>
      <c r="D1502" s="177" t="s">
        <v>121</v>
      </c>
      <c r="E1502" s="182">
        <v>500</v>
      </c>
      <c r="F1502" s="325">
        <f t="shared" si="13"/>
        <v>0.89135775178182408</v>
      </c>
      <c r="G1502" s="326">
        <v>560.94200000000001</v>
      </c>
      <c r="H1502" s="182" t="s">
        <v>175</v>
      </c>
      <c r="I1502" s="182" t="s">
        <v>2588</v>
      </c>
      <c r="J1502" s="182" t="s">
        <v>98</v>
      </c>
      <c r="K1502" s="129" t="s">
        <v>1902</v>
      </c>
      <c r="L1502" s="182" t="s">
        <v>155</v>
      </c>
      <c r="M1502" s="129"/>
      <c r="N1502" s="129"/>
      <c r="O1502" s="450"/>
      <c r="P1502" s="450"/>
      <c r="Q1502" s="450"/>
    </row>
    <row r="1503" spans="1:17" ht="15.6">
      <c r="A1503" s="505">
        <v>45884</v>
      </c>
      <c r="B1503" s="182" t="s">
        <v>3037</v>
      </c>
      <c r="C1503" s="182" t="s">
        <v>174</v>
      </c>
      <c r="D1503" s="177" t="s">
        <v>121</v>
      </c>
      <c r="E1503" s="182">
        <v>500</v>
      </c>
      <c r="F1503" s="325">
        <f t="shared" si="13"/>
        <v>0.89135775178182408</v>
      </c>
      <c r="G1503" s="326">
        <v>560.94200000000001</v>
      </c>
      <c r="H1503" s="182" t="s">
        <v>175</v>
      </c>
      <c r="I1503" s="182" t="s">
        <v>2588</v>
      </c>
      <c r="J1503" s="182" t="s">
        <v>98</v>
      </c>
      <c r="K1503" s="129" t="s">
        <v>1902</v>
      </c>
      <c r="L1503" s="182" t="s">
        <v>155</v>
      </c>
      <c r="M1503" s="129"/>
      <c r="N1503" s="129"/>
      <c r="O1503" s="450"/>
      <c r="P1503" s="450"/>
      <c r="Q1503" s="450"/>
    </row>
    <row r="1504" spans="1:17" ht="15.6">
      <c r="A1504" s="505">
        <v>45884</v>
      </c>
      <c r="B1504" s="177" t="s">
        <v>2585</v>
      </c>
      <c r="C1504" s="177" t="s">
        <v>152</v>
      </c>
      <c r="D1504" s="177" t="s">
        <v>121</v>
      </c>
      <c r="E1504" s="182">
        <v>5000</v>
      </c>
      <c r="F1504" s="325">
        <f t="shared" ref="F1504:F1567" si="14">E1504/G1504</f>
        <v>8.9135775178182417</v>
      </c>
      <c r="G1504" s="326">
        <v>560.94200000000001</v>
      </c>
      <c r="H1504" s="182" t="s">
        <v>175</v>
      </c>
      <c r="I1504" s="182" t="s">
        <v>2595</v>
      </c>
      <c r="J1504" s="182" t="s">
        <v>98</v>
      </c>
      <c r="K1504" s="129" t="s">
        <v>1902</v>
      </c>
      <c r="L1504" s="182" t="s">
        <v>155</v>
      </c>
      <c r="M1504" s="129"/>
      <c r="N1504" s="129"/>
      <c r="O1504" s="450"/>
      <c r="P1504" s="450"/>
      <c r="Q1504" s="450"/>
    </row>
    <row r="1505" spans="1:17" ht="15.6">
      <c r="A1505" s="503">
        <v>45884</v>
      </c>
      <c r="B1505" s="182" t="s">
        <v>2773</v>
      </c>
      <c r="C1505" s="182" t="s">
        <v>177</v>
      </c>
      <c r="D1505" s="182" t="s">
        <v>117</v>
      </c>
      <c r="E1505" s="496">
        <v>15000</v>
      </c>
      <c r="F1505" s="325">
        <f t="shared" si="14"/>
        <v>26.740732553454723</v>
      </c>
      <c r="G1505" s="326">
        <v>560.94200000000001</v>
      </c>
      <c r="H1505" s="517" t="s">
        <v>437</v>
      </c>
      <c r="I1505" s="182" t="s">
        <v>2819</v>
      </c>
      <c r="J1505" s="182" t="s">
        <v>98</v>
      </c>
      <c r="K1505" s="129" t="s">
        <v>1902</v>
      </c>
      <c r="L1505" s="182" t="s">
        <v>155</v>
      </c>
      <c r="M1505" s="129"/>
      <c r="N1505" s="129"/>
      <c r="O1505" s="450"/>
      <c r="P1505" s="450"/>
      <c r="Q1505" s="450"/>
    </row>
    <row r="1506" spans="1:17" ht="15.6">
      <c r="A1506" s="503">
        <v>45884</v>
      </c>
      <c r="B1506" s="182" t="s">
        <v>2774</v>
      </c>
      <c r="C1506" s="517" t="s">
        <v>196</v>
      </c>
      <c r="D1506" s="517" t="s">
        <v>117</v>
      </c>
      <c r="E1506" s="496">
        <v>500</v>
      </c>
      <c r="F1506" s="325">
        <f t="shared" si="14"/>
        <v>0.89135775178182408</v>
      </c>
      <c r="G1506" s="326">
        <v>560.94200000000001</v>
      </c>
      <c r="H1506" s="517" t="s">
        <v>437</v>
      </c>
      <c r="I1506" s="182" t="s">
        <v>2817</v>
      </c>
      <c r="J1506" s="182" t="s">
        <v>98</v>
      </c>
      <c r="K1506" s="129" t="s">
        <v>1902</v>
      </c>
      <c r="L1506" s="182" t="s">
        <v>155</v>
      </c>
      <c r="M1506" s="129"/>
      <c r="N1506" s="129"/>
      <c r="O1506" s="450"/>
      <c r="P1506" s="450"/>
      <c r="Q1506" s="450"/>
    </row>
    <row r="1507" spans="1:17" ht="15.6">
      <c r="A1507" s="503">
        <v>45884</v>
      </c>
      <c r="B1507" s="182" t="s">
        <v>2775</v>
      </c>
      <c r="C1507" s="517" t="s">
        <v>196</v>
      </c>
      <c r="D1507" s="517" t="s">
        <v>117</v>
      </c>
      <c r="E1507" s="496">
        <v>500</v>
      </c>
      <c r="F1507" s="325">
        <f t="shared" si="14"/>
        <v>0.89135775178182408</v>
      </c>
      <c r="G1507" s="326">
        <v>560.94200000000001</v>
      </c>
      <c r="H1507" s="517" t="s">
        <v>437</v>
      </c>
      <c r="I1507" s="182" t="s">
        <v>2817</v>
      </c>
      <c r="J1507" s="182" t="s">
        <v>98</v>
      </c>
      <c r="K1507" s="129" t="s">
        <v>1902</v>
      </c>
      <c r="L1507" s="182" t="s">
        <v>155</v>
      </c>
      <c r="M1507" s="129"/>
      <c r="N1507" s="129"/>
      <c r="O1507" s="450"/>
      <c r="P1507" s="450"/>
      <c r="Q1507" s="450"/>
    </row>
    <row r="1508" spans="1:17" ht="15.6">
      <c r="A1508" s="503">
        <v>45884</v>
      </c>
      <c r="B1508" s="182" t="s">
        <v>2460</v>
      </c>
      <c r="C1508" s="517" t="s">
        <v>152</v>
      </c>
      <c r="D1508" s="517" t="s">
        <v>117</v>
      </c>
      <c r="E1508" s="496">
        <v>5000</v>
      </c>
      <c r="F1508" s="325">
        <f t="shared" si="14"/>
        <v>8.9135775178182417</v>
      </c>
      <c r="G1508" s="326">
        <v>560.94200000000001</v>
      </c>
      <c r="H1508" s="517" t="s">
        <v>437</v>
      </c>
      <c r="I1508" s="182" t="s">
        <v>2820</v>
      </c>
      <c r="J1508" s="182" t="s">
        <v>98</v>
      </c>
      <c r="K1508" s="129" t="s">
        <v>1902</v>
      </c>
      <c r="L1508" s="182" t="s">
        <v>155</v>
      </c>
      <c r="M1508" s="129"/>
      <c r="N1508" s="129"/>
      <c r="O1508" s="450"/>
      <c r="P1508" s="450"/>
      <c r="Q1508" s="450"/>
    </row>
    <row r="1509" spans="1:17" ht="15.6">
      <c r="A1509" s="505">
        <v>45884</v>
      </c>
      <c r="B1509" s="182" t="s">
        <v>2885</v>
      </c>
      <c r="C1509" s="182" t="s">
        <v>177</v>
      </c>
      <c r="D1509" s="182" t="s">
        <v>120</v>
      </c>
      <c r="E1509" s="496">
        <v>15000</v>
      </c>
      <c r="F1509" s="325">
        <f t="shared" si="14"/>
        <v>26.740732553454723</v>
      </c>
      <c r="G1509" s="326">
        <v>560.94200000000001</v>
      </c>
      <c r="H1509" s="182" t="s">
        <v>213</v>
      </c>
      <c r="I1509" s="182" t="s">
        <v>2857</v>
      </c>
      <c r="J1509" s="182" t="s">
        <v>98</v>
      </c>
      <c r="K1509" s="129" t="s">
        <v>1902</v>
      </c>
      <c r="L1509" s="182" t="s">
        <v>155</v>
      </c>
      <c r="M1509" s="129"/>
      <c r="N1509" s="129"/>
      <c r="O1509" s="450"/>
      <c r="P1509" s="450"/>
      <c r="Q1509" s="450"/>
    </row>
    <row r="1510" spans="1:17" ht="15.6">
      <c r="A1510" s="505">
        <v>45884</v>
      </c>
      <c r="B1510" s="182" t="s">
        <v>2838</v>
      </c>
      <c r="C1510" s="182" t="s">
        <v>174</v>
      </c>
      <c r="D1510" s="182" t="s">
        <v>120</v>
      </c>
      <c r="E1510" s="496">
        <v>500</v>
      </c>
      <c r="F1510" s="325">
        <f t="shared" si="14"/>
        <v>0.89135775178182408</v>
      </c>
      <c r="G1510" s="326">
        <v>560.94200000000001</v>
      </c>
      <c r="H1510" s="182" t="s">
        <v>213</v>
      </c>
      <c r="I1510" s="182" t="s">
        <v>2853</v>
      </c>
      <c r="J1510" s="182" t="s">
        <v>98</v>
      </c>
      <c r="K1510" s="129" t="s">
        <v>1902</v>
      </c>
      <c r="L1510" s="182" t="s">
        <v>155</v>
      </c>
      <c r="M1510" s="129"/>
      <c r="N1510" s="129"/>
      <c r="O1510" s="450"/>
      <c r="P1510" s="450"/>
      <c r="Q1510" s="450"/>
    </row>
    <row r="1511" spans="1:17" ht="15.6">
      <c r="A1511" s="505">
        <v>45884</v>
      </c>
      <c r="B1511" s="182" t="s">
        <v>2460</v>
      </c>
      <c r="C1511" s="517" t="s">
        <v>152</v>
      </c>
      <c r="D1511" s="182" t="s">
        <v>120</v>
      </c>
      <c r="E1511" s="496">
        <v>5000</v>
      </c>
      <c r="F1511" s="325">
        <f t="shared" si="14"/>
        <v>8.9135775178182417</v>
      </c>
      <c r="G1511" s="326">
        <v>560.94200000000001</v>
      </c>
      <c r="H1511" s="182" t="s">
        <v>213</v>
      </c>
      <c r="I1511" s="182" t="s">
        <v>2858</v>
      </c>
      <c r="J1511" s="182" t="s">
        <v>98</v>
      </c>
      <c r="K1511" s="129" t="s">
        <v>1902</v>
      </c>
      <c r="L1511" s="182" t="s">
        <v>155</v>
      </c>
      <c r="M1511" s="129"/>
      <c r="N1511" s="129"/>
      <c r="O1511" s="450"/>
      <c r="P1511" s="450"/>
      <c r="Q1511" s="450"/>
    </row>
    <row r="1512" spans="1:17" ht="15.6">
      <c r="A1512" s="467">
        <v>45885</v>
      </c>
      <c r="B1512" s="177" t="s">
        <v>2461</v>
      </c>
      <c r="C1512" s="177" t="s">
        <v>2456</v>
      </c>
      <c r="D1512" s="177" t="s">
        <v>117</v>
      </c>
      <c r="E1512" s="527">
        <v>15000</v>
      </c>
      <c r="F1512" s="325">
        <f t="shared" si="14"/>
        <v>26.740732553454723</v>
      </c>
      <c r="G1512" s="326">
        <v>560.94200000000001</v>
      </c>
      <c r="H1512" s="177" t="s">
        <v>200</v>
      </c>
      <c r="I1512" s="516" t="s">
        <v>2981</v>
      </c>
      <c r="J1512" s="182" t="s">
        <v>98</v>
      </c>
      <c r="K1512" s="129" t="s">
        <v>1902</v>
      </c>
      <c r="L1512" s="182" t="s">
        <v>155</v>
      </c>
      <c r="M1512" s="129"/>
      <c r="N1512" s="129"/>
      <c r="O1512" s="450"/>
      <c r="P1512" s="450"/>
      <c r="Q1512" s="450"/>
    </row>
    <row r="1513" spans="1:17" ht="15.6">
      <c r="A1513" s="536">
        <v>45885</v>
      </c>
      <c r="B1513" s="516" t="s">
        <v>2462</v>
      </c>
      <c r="C1513" s="516" t="s">
        <v>174</v>
      </c>
      <c r="D1513" s="516" t="s">
        <v>117</v>
      </c>
      <c r="E1513" s="526">
        <v>500</v>
      </c>
      <c r="F1513" s="325">
        <f t="shared" si="14"/>
        <v>0.89135775178182408</v>
      </c>
      <c r="G1513" s="326">
        <v>560.94200000000001</v>
      </c>
      <c r="H1513" s="177" t="s">
        <v>200</v>
      </c>
      <c r="I1513" s="516" t="s">
        <v>2489</v>
      </c>
      <c r="J1513" s="182" t="s">
        <v>98</v>
      </c>
      <c r="K1513" s="129" t="s">
        <v>1902</v>
      </c>
      <c r="L1513" s="182" t="s">
        <v>155</v>
      </c>
      <c r="M1513" s="129"/>
      <c r="N1513" s="129"/>
      <c r="O1513" s="450"/>
      <c r="P1513" s="450"/>
      <c r="Q1513" s="450"/>
    </row>
    <row r="1514" spans="1:17" ht="15.6">
      <c r="A1514" s="536">
        <v>45885</v>
      </c>
      <c r="B1514" s="516" t="s">
        <v>2463</v>
      </c>
      <c r="C1514" s="516" t="s">
        <v>174</v>
      </c>
      <c r="D1514" s="516" t="s">
        <v>117</v>
      </c>
      <c r="E1514" s="526">
        <v>500</v>
      </c>
      <c r="F1514" s="325">
        <f t="shared" si="14"/>
        <v>0.89135775178182408</v>
      </c>
      <c r="G1514" s="326">
        <v>560.94200000000001</v>
      </c>
      <c r="H1514" s="177" t="s">
        <v>200</v>
      </c>
      <c r="I1514" s="516" t="s">
        <v>2489</v>
      </c>
      <c r="J1514" s="182" t="s">
        <v>98</v>
      </c>
      <c r="K1514" s="129" t="s">
        <v>1902</v>
      </c>
      <c r="L1514" s="182" t="s">
        <v>155</v>
      </c>
      <c r="M1514" s="129"/>
      <c r="N1514" s="129"/>
      <c r="O1514" s="450"/>
      <c r="P1514" s="450"/>
      <c r="Q1514" s="450"/>
    </row>
    <row r="1515" spans="1:17" ht="15.6">
      <c r="A1515" s="467">
        <v>45885</v>
      </c>
      <c r="B1515" s="177" t="s">
        <v>3145</v>
      </c>
      <c r="C1515" s="177" t="s">
        <v>174</v>
      </c>
      <c r="D1515" s="177" t="s">
        <v>121</v>
      </c>
      <c r="E1515" s="177">
        <v>1000</v>
      </c>
      <c r="F1515" s="325">
        <f t="shared" si="14"/>
        <v>1.7827155035636482</v>
      </c>
      <c r="G1515" s="326">
        <v>560.94200000000001</v>
      </c>
      <c r="H1515" s="177" t="s">
        <v>184</v>
      </c>
      <c r="I1515" s="177" t="s">
        <v>2558</v>
      </c>
      <c r="J1515" s="182" t="s">
        <v>98</v>
      </c>
      <c r="K1515" s="129" t="s">
        <v>1902</v>
      </c>
      <c r="L1515" s="182" t="s">
        <v>155</v>
      </c>
      <c r="M1515" s="129"/>
      <c r="N1515" s="129"/>
      <c r="O1515" s="450"/>
      <c r="P1515" s="450"/>
      <c r="Q1515" s="450"/>
    </row>
    <row r="1516" spans="1:17" ht="15.6">
      <c r="A1516" s="467">
        <v>45885</v>
      </c>
      <c r="B1516" s="177" t="s">
        <v>3026</v>
      </c>
      <c r="C1516" s="177" t="s">
        <v>177</v>
      </c>
      <c r="D1516" s="177" t="s">
        <v>121</v>
      </c>
      <c r="E1516" s="177">
        <v>15000</v>
      </c>
      <c r="F1516" s="325">
        <f t="shared" si="14"/>
        <v>26.740732553454723</v>
      </c>
      <c r="G1516" s="326">
        <v>560.94200000000001</v>
      </c>
      <c r="H1516" s="177" t="s">
        <v>184</v>
      </c>
      <c r="I1516" s="177" t="s">
        <v>2566</v>
      </c>
      <c r="J1516" s="182" t="s">
        <v>98</v>
      </c>
      <c r="K1516" s="129" t="s">
        <v>1902</v>
      </c>
      <c r="L1516" s="182" t="s">
        <v>155</v>
      </c>
      <c r="M1516" s="129"/>
      <c r="N1516" s="129"/>
      <c r="O1516" s="450"/>
      <c r="P1516" s="450"/>
      <c r="Q1516" s="450"/>
    </row>
    <row r="1517" spans="1:17" ht="15.6">
      <c r="A1517" s="467">
        <v>45885</v>
      </c>
      <c r="B1517" s="177" t="s">
        <v>3039</v>
      </c>
      <c r="C1517" s="177" t="s">
        <v>174</v>
      </c>
      <c r="D1517" s="177" t="s">
        <v>121</v>
      </c>
      <c r="E1517" s="177">
        <v>1000</v>
      </c>
      <c r="F1517" s="325">
        <f t="shared" si="14"/>
        <v>1.7827155035636482</v>
      </c>
      <c r="G1517" s="326">
        <v>560.94200000000001</v>
      </c>
      <c r="H1517" s="177" t="s">
        <v>184</v>
      </c>
      <c r="I1517" s="177" t="s">
        <v>2558</v>
      </c>
      <c r="J1517" s="182" t="s">
        <v>98</v>
      </c>
      <c r="K1517" s="129" t="s">
        <v>1902</v>
      </c>
      <c r="L1517" s="182" t="s">
        <v>155</v>
      </c>
      <c r="M1517" s="129"/>
      <c r="N1517" s="129"/>
      <c r="O1517" s="450"/>
      <c r="P1517" s="450"/>
      <c r="Q1517" s="450"/>
    </row>
    <row r="1518" spans="1:17" ht="15.6">
      <c r="A1518" s="505">
        <v>45885</v>
      </c>
      <c r="B1518" s="182" t="s">
        <v>2992</v>
      </c>
      <c r="C1518" s="182" t="s">
        <v>2456</v>
      </c>
      <c r="D1518" s="177" t="s">
        <v>121</v>
      </c>
      <c r="E1518" s="182">
        <v>15000</v>
      </c>
      <c r="F1518" s="325">
        <f t="shared" si="14"/>
        <v>26.740732553454723</v>
      </c>
      <c r="G1518" s="326">
        <v>560.94200000000001</v>
      </c>
      <c r="H1518" s="182" t="s">
        <v>175</v>
      </c>
      <c r="I1518" s="182" t="s">
        <v>2596</v>
      </c>
      <c r="J1518" s="182" t="s">
        <v>98</v>
      </c>
      <c r="K1518" s="129" t="s">
        <v>1902</v>
      </c>
      <c r="L1518" s="182" t="s">
        <v>155</v>
      </c>
      <c r="M1518" s="129"/>
      <c r="N1518" s="129"/>
      <c r="O1518" s="450"/>
      <c r="P1518" s="450"/>
      <c r="Q1518" s="450"/>
    </row>
    <row r="1519" spans="1:17" ht="15.6">
      <c r="A1519" s="505">
        <v>45885</v>
      </c>
      <c r="B1519" s="182" t="s">
        <v>3005</v>
      </c>
      <c r="C1519" s="182" t="s">
        <v>174</v>
      </c>
      <c r="D1519" s="177" t="s">
        <v>121</v>
      </c>
      <c r="E1519" s="182">
        <v>500</v>
      </c>
      <c r="F1519" s="325">
        <f t="shared" si="14"/>
        <v>0.89135775178182408</v>
      </c>
      <c r="G1519" s="326">
        <v>560.94200000000001</v>
      </c>
      <c r="H1519" s="182" t="s">
        <v>175</v>
      </c>
      <c r="I1519" s="182" t="s">
        <v>2588</v>
      </c>
      <c r="J1519" s="182" t="s">
        <v>98</v>
      </c>
      <c r="K1519" s="129" t="s">
        <v>1902</v>
      </c>
      <c r="L1519" s="182" t="s">
        <v>155</v>
      </c>
      <c r="M1519" s="129"/>
      <c r="N1519" s="129"/>
      <c r="O1519" s="450"/>
      <c r="P1519" s="450"/>
      <c r="Q1519" s="450"/>
    </row>
    <row r="1520" spans="1:17" ht="15.6">
      <c r="A1520" s="505">
        <v>45885</v>
      </c>
      <c r="B1520" s="182" t="s">
        <v>3083</v>
      </c>
      <c r="C1520" s="182" t="s">
        <v>174</v>
      </c>
      <c r="D1520" s="177" t="s">
        <v>121</v>
      </c>
      <c r="E1520" s="182">
        <v>500</v>
      </c>
      <c r="F1520" s="325">
        <f t="shared" si="14"/>
        <v>0.89135775178182408</v>
      </c>
      <c r="G1520" s="326">
        <v>560.94200000000001</v>
      </c>
      <c r="H1520" s="182" t="s">
        <v>175</v>
      </c>
      <c r="I1520" s="182" t="s">
        <v>2588</v>
      </c>
      <c r="J1520" s="182" t="s">
        <v>98</v>
      </c>
      <c r="K1520" s="129" t="s">
        <v>1902</v>
      </c>
      <c r="L1520" s="182" t="s">
        <v>155</v>
      </c>
      <c r="M1520" s="129"/>
      <c r="N1520" s="129"/>
      <c r="O1520" s="450"/>
      <c r="P1520" s="450"/>
      <c r="Q1520" s="450"/>
    </row>
    <row r="1521" spans="1:17" ht="15.6">
      <c r="A1521" s="503">
        <v>45885</v>
      </c>
      <c r="B1521" s="182" t="s">
        <v>2776</v>
      </c>
      <c r="C1521" s="182" t="s">
        <v>177</v>
      </c>
      <c r="D1521" s="182" t="s">
        <v>117</v>
      </c>
      <c r="E1521" s="496">
        <v>15000</v>
      </c>
      <c r="F1521" s="325">
        <f t="shared" si="14"/>
        <v>26.740732553454723</v>
      </c>
      <c r="G1521" s="326">
        <v>560.94200000000001</v>
      </c>
      <c r="H1521" s="517" t="s">
        <v>437</v>
      </c>
      <c r="I1521" s="182" t="s">
        <v>2821</v>
      </c>
      <c r="J1521" s="182" t="s">
        <v>98</v>
      </c>
      <c r="K1521" s="129" t="s">
        <v>1902</v>
      </c>
      <c r="L1521" s="182" t="s">
        <v>155</v>
      </c>
      <c r="M1521" s="129"/>
      <c r="N1521" s="129"/>
      <c r="O1521" s="450"/>
      <c r="P1521" s="450"/>
      <c r="Q1521" s="450"/>
    </row>
    <row r="1522" spans="1:17" ht="15.6">
      <c r="A1522" s="503">
        <v>45885</v>
      </c>
      <c r="B1522" s="182" t="s">
        <v>2777</v>
      </c>
      <c r="C1522" s="517" t="s">
        <v>196</v>
      </c>
      <c r="D1522" s="517" t="s">
        <v>117</v>
      </c>
      <c r="E1522" s="496">
        <v>500</v>
      </c>
      <c r="F1522" s="325">
        <f t="shared" si="14"/>
        <v>0.89135775178182408</v>
      </c>
      <c r="G1522" s="326">
        <v>560.94200000000001</v>
      </c>
      <c r="H1522" s="517" t="s">
        <v>437</v>
      </c>
      <c r="I1522" s="182" t="s">
        <v>2817</v>
      </c>
      <c r="J1522" s="182" t="s">
        <v>98</v>
      </c>
      <c r="K1522" s="129" t="s">
        <v>1902</v>
      </c>
      <c r="L1522" s="182" t="s">
        <v>155</v>
      </c>
      <c r="M1522" s="129"/>
      <c r="N1522" s="129"/>
      <c r="O1522" s="450"/>
      <c r="P1522" s="450"/>
      <c r="Q1522" s="450"/>
    </row>
    <row r="1523" spans="1:17" ht="15.6">
      <c r="A1523" s="503">
        <v>45885</v>
      </c>
      <c r="B1523" s="182" t="s">
        <v>2778</v>
      </c>
      <c r="C1523" s="517" t="s">
        <v>196</v>
      </c>
      <c r="D1523" s="517" t="s">
        <v>117</v>
      </c>
      <c r="E1523" s="496">
        <v>500</v>
      </c>
      <c r="F1523" s="325">
        <f t="shared" si="14"/>
        <v>0.89135775178182408</v>
      </c>
      <c r="G1523" s="326">
        <v>560.94200000000001</v>
      </c>
      <c r="H1523" s="517" t="s">
        <v>437</v>
      </c>
      <c r="I1523" s="182" t="s">
        <v>2817</v>
      </c>
      <c r="J1523" s="182" t="s">
        <v>98</v>
      </c>
      <c r="K1523" s="129" t="s">
        <v>1902</v>
      </c>
      <c r="L1523" s="182" t="s">
        <v>155</v>
      </c>
      <c r="M1523" s="129"/>
      <c r="N1523" s="129"/>
      <c r="O1523" s="450"/>
      <c r="P1523" s="450"/>
      <c r="Q1523" s="450"/>
    </row>
    <row r="1524" spans="1:17" ht="15.6">
      <c r="A1524" s="505">
        <v>45885</v>
      </c>
      <c r="B1524" s="182" t="s">
        <v>2839</v>
      </c>
      <c r="C1524" s="182" t="s">
        <v>177</v>
      </c>
      <c r="D1524" s="182" t="s">
        <v>120</v>
      </c>
      <c r="E1524" s="496">
        <v>15000</v>
      </c>
      <c r="F1524" s="325">
        <f t="shared" si="14"/>
        <v>26.740732553454723</v>
      </c>
      <c r="G1524" s="326">
        <v>560.94200000000001</v>
      </c>
      <c r="H1524" s="182" t="s">
        <v>213</v>
      </c>
      <c r="I1524" s="182" t="s">
        <v>2859</v>
      </c>
      <c r="J1524" s="182" t="s">
        <v>98</v>
      </c>
      <c r="K1524" s="129" t="s">
        <v>1902</v>
      </c>
      <c r="L1524" s="182" t="s">
        <v>155</v>
      </c>
      <c r="M1524" s="129"/>
      <c r="N1524" s="129"/>
      <c r="O1524" s="450"/>
      <c r="P1524" s="450"/>
      <c r="Q1524" s="450"/>
    </row>
    <row r="1525" spans="1:17" ht="15.6">
      <c r="A1525" s="505">
        <v>45885</v>
      </c>
      <c r="B1525" s="182" t="s">
        <v>2840</v>
      </c>
      <c r="C1525" s="182" t="s">
        <v>174</v>
      </c>
      <c r="D1525" s="182" t="s">
        <v>120</v>
      </c>
      <c r="E1525" s="496">
        <v>500</v>
      </c>
      <c r="F1525" s="325">
        <f t="shared" si="14"/>
        <v>0.89135775178182408</v>
      </c>
      <c r="G1525" s="326">
        <v>560.94200000000001</v>
      </c>
      <c r="H1525" s="182" t="s">
        <v>213</v>
      </c>
      <c r="I1525" s="182" t="s">
        <v>2853</v>
      </c>
      <c r="J1525" s="182" t="s">
        <v>98</v>
      </c>
      <c r="K1525" s="129" t="s">
        <v>1902</v>
      </c>
      <c r="L1525" s="182" t="s">
        <v>155</v>
      </c>
      <c r="M1525" s="129"/>
      <c r="N1525" s="129"/>
      <c r="O1525" s="450"/>
      <c r="P1525" s="450"/>
      <c r="Q1525" s="450"/>
    </row>
    <row r="1526" spans="1:17" ht="15.6">
      <c r="A1526" s="535">
        <v>45887</v>
      </c>
      <c r="B1526" s="517" t="s">
        <v>2099</v>
      </c>
      <c r="C1526" s="308" t="s">
        <v>174</v>
      </c>
      <c r="D1526" s="308" t="s">
        <v>119</v>
      </c>
      <c r="E1526" s="517">
        <v>1000</v>
      </c>
      <c r="F1526" s="325">
        <f t="shared" si="14"/>
        <v>1.7827155035636482</v>
      </c>
      <c r="G1526" s="326">
        <v>560.94200000000001</v>
      </c>
      <c r="H1526" s="524" t="s">
        <v>153</v>
      </c>
      <c r="I1526" s="525" t="s">
        <v>2494</v>
      </c>
      <c r="J1526" s="182" t="s">
        <v>98</v>
      </c>
      <c r="K1526" s="129" t="s">
        <v>1902</v>
      </c>
      <c r="L1526" s="182" t="s">
        <v>155</v>
      </c>
      <c r="M1526" s="129"/>
      <c r="N1526" s="129"/>
      <c r="O1526" s="450"/>
      <c r="P1526" s="450"/>
      <c r="Q1526" s="450"/>
    </row>
    <row r="1527" spans="1:17" ht="15.6">
      <c r="A1527" s="535">
        <v>45887</v>
      </c>
      <c r="B1527" s="517" t="s">
        <v>2108</v>
      </c>
      <c r="C1527" s="308" t="s">
        <v>174</v>
      </c>
      <c r="D1527" s="308" t="s">
        <v>119</v>
      </c>
      <c r="E1527" s="517">
        <v>1000</v>
      </c>
      <c r="F1527" s="325">
        <f t="shared" si="14"/>
        <v>1.7827155035636482</v>
      </c>
      <c r="G1527" s="326">
        <v>560.94200000000001</v>
      </c>
      <c r="H1527" s="524" t="s">
        <v>153</v>
      </c>
      <c r="I1527" s="525" t="s">
        <v>2494</v>
      </c>
      <c r="J1527" s="182" t="s">
        <v>98</v>
      </c>
      <c r="K1527" s="129" t="s">
        <v>1902</v>
      </c>
      <c r="L1527" s="182" t="s">
        <v>155</v>
      </c>
      <c r="M1527" s="129"/>
      <c r="N1527" s="129"/>
      <c r="O1527" s="450"/>
      <c r="P1527" s="450"/>
      <c r="Q1527" s="450"/>
    </row>
    <row r="1528" spans="1:17" ht="15.6">
      <c r="A1528" s="535">
        <v>45887</v>
      </c>
      <c r="B1528" s="517" t="s">
        <v>2109</v>
      </c>
      <c r="C1528" s="308" t="s">
        <v>174</v>
      </c>
      <c r="D1528" s="308" t="s">
        <v>119</v>
      </c>
      <c r="E1528" s="517">
        <v>1000</v>
      </c>
      <c r="F1528" s="325">
        <f t="shared" si="14"/>
        <v>1.7827155035636482</v>
      </c>
      <c r="G1528" s="326">
        <v>560.94200000000001</v>
      </c>
      <c r="H1528" s="524" t="s">
        <v>153</v>
      </c>
      <c r="I1528" s="525" t="s">
        <v>2494</v>
      </c>
      <c r="J1528" s="182" t="s">
        <v>98</v>
      </c>
      <c r="K1528" s="129" t="s">
        <v>1902</v>
      </c>
      <c r="L1528" s="182" t="s">
        <v>155</v>
      </c>
      <c r="M1528" s="129"/>
      <c r="N1528" s="129"/>
      <c r="O1528" s="450"/>
      <c r="P1528" s="450"/>
      <c r="Q1528" s="450"/>
    </row>
    <row r="1529" spans="1:17" ht="15.6">
      <c r="A1529" s="535">
        <v>45887</v>
      </c>
      <c r="B1529" s="517" t="s">
        <v>2100</v>
      </c>
      <c r="C1529" s="308" t="s">
        <v>174</v>
      </c>
      <c r="D1529" s="308" t="s">
        <v>119</v>
      </c>
      <c r="E1529" s="517">
        <v>1000</v>
      </c>
      <c r="F1529" s="325">
        <f t="shared" si="14"/>
        <v>1.7827155035636482</v>
      </c>
      <c r="G1529" s="326">
        <v>560.94200000000001</v>
      </c>
      <c r="H1529" s="524" t="s">
        <v>153</v>
      </c>
      <c r="I1529" s="525" t="s">
        <v>2494</v>
      </c>
      <c r="J1529" s="182" t="s">
        <v>98</v>
      </c>
      <c r="K1529" s="129" t="s">
        <v>1902</v>
      </c>
      <c r="L1529" s="182" t="s">
        <v>155</v>
      </c>
      <c r="M1529" s="129"/>
      <c r="N1529" s="129"/>
      <c r="O1529" s="450"/>
      <c r="P1529" s="450"/>
      <c r="Q1529" s="450"/>
    </row>
    <row r="1530" spans="1:17" ht="15.6">
      <c r="A1530" s="535">
        <v>45887</v>
      </c>
      <c r="B1530" s="517" t="s">
        <v>2450</v>
      </c>
      <c r="C1530" s="308" t="s">
        <v>152</v>
      </c>
      <c r="D1530" s="308" t="s">
        <v>119</v>
      </c>
      <c r="E1530" s="517">
        <v>15000</v>
      </c>
      <c r="F1530" s="325">
        <f t="shared" si="14"/>
        <v>26.740732553454723</v>
      </c>
      <c r="G1530" s="326">
        <v>560.94200000000001</v>
      </c>
      <c r="H1530" s="524" t="s">
        <v>153</v>
      </c>
      <c r="I1530" s="525" t="s">
        <v>2498</v>
      </c>
      <c r="J1530" s="182" t="s">
        <v>98</v>
      </c>
      <c r="K1530" s="129" t="s">
        <v>1902</v>
      </c>
      <c r="L1530" s="182" t="s">
        <v>155</v>
      </c>
      <c r="M1530" s="129"/>
      <c r="N1530" s="129"/>
      <c r="O1530" s="450"/>
      <c r="P1530" s="450"/>
      <c r="Q1530" s="450"/>
    </row>
    <row r="1531" spans="1:17" ht="15.6">
      <c r="A1531" s="535">
        <v>45887</v>
      </c>
      <c r="B1531" s="182" t="s">
        <v>2374</v>
      </c>
      <c r="C1531" s="308" t="s">
        <v>127</v>
      </c>
      <c r="D1531" s="308" t="s">
        <v>119</v>
      </c>
      <c r="E1531" s="517">
        <v>300000</v>
      </c>
      <c r="F1531" s="325">
        <f t="shared" si="14"/>
        <v>534.81465106909445</v>
      </c>
      <c r="G1531" s="326">
        <v>560.94200000000001</v>
      </c>
      <c r="H1531" s="182" t="s">
        <v>153</v>
      </c>
      <c r="I1531" s="182" t="s">
        <v>2375</v>
      </c>
      <c r="J1531" s="182" t="s">
        <v>98</v>
      </c>
      <c r="K1531" s="129" t="s">
        <v>1902</v>
      </c>
      <c r="L1531" s="182" t="s">
        <v>155</v>
      </c>
      <c r="M1531" s="129"/>
      <c r="N1531" s="129"/>
      <c r="O1531" s="450"/>
      <c r="P1531" s="450"/>
      <c r="Q1531" s="450"/>
    </row>
    <row r="1532" spans="1:17" ht="15.6">
      <c r="A1532" s="505">
        <v>45887</v>
      </c>
      <c r="B1532" s="182" t="s">
        <v>2464</v>
      </c>
      <c r="C1532" s="182" t="s">
        <v>152</v>
      </c>
      <c r="D1532" s="182" t="s">
        <v>117</v>
      </c>
      <c r="E1532" s="526">
        <v>5000</v>
      </c>
      <c r="F1532" s="325">
        <f t="shared" si="14"/>
        <v>8.9135775178182417</v>
      </c>
      <c r="G1532" s="326">
        <v>560.94200000000001</v>
      </c>
      <c r="H1532" s="177" t="s">
        <v>200</v>
      </c>
      <c r="I1532" s="516" t="s">
        <v>2982</v>
      </c>
      <c r="J1532" s="182" t="s">
        <v>98</v>
      </c>
      <c r="K1532" s="129" t="s">
        <v>1902</v>
      </c>
      <c r="L1532" s="182" t="s">
        <v>155</v>
      </c>
      <c r="M1532" s="129"/>
      <c r="N1532" s="129"/>
      <c r="O1532" s="450"/>
      <c r="P1532" s="450"/>
      <c r="Q1532" s="450"/>
    </row>
    <row r="1533" spans="1:17" ht="15.6">
      <c r="A1533" s="505">
        <v>45887</v>
      </c>
      <c r="B1533" s="182" t="s">
        <v>2465</v>
      </c>
      <c r="C1533" s="182" t="s">
        <v>152</v>
      </c>
      <c r="D1533" s="182" t="s">
        <v>117</v>
      </c>
      <c r="E1533" s="526">
        <v>5000</v>
      </c>
      <c r="F1533" s="325">
        <f t="shared" si="14"/>
        <v>8.9135775178182417</v>
      </c>
      <c r="G1533" s="326">
        <v>560.94200000000001</v>
      </c>
      <c r="H1533" s="177" t="s">
        <v>200</v>
      </c>
      <c r="I1533" s="516" t="s">
        <v>2983</v>
      </c>
      <c r="J1533" s="182" t="s">
        <v>98</v>
      </c>
      <c r="K1533" s="129" t="s">
        <v>1902</v>
      </c>
      <c r="L1533" s="182" t="s">
        <v>155</v>
      </c>
      <c r="M1533" s="129"/>
      <c r="N1533" s="129"/>
      <c r="O1533" s="450"/>
      <c r="P1533" s="450"/>
      <c r="Q1533" s="450"/>
    </row>
    <row r="1534" spans="1:17" ht="15.6">
      <c r="A1534" s="504">
        <v>45887</v>
      </c>
      <c r="B1534" s="182" t="s">
        <v>2514</v>
      </c>
      <c r="C1534" s="182" t="s">
        <v>174</v>
      </c>
      <c r="D1534" s="182" t="s">
        <v>118</v>
      </c>
      <c r="E1534" s="435">
        <v>1000</v>
      </c>
      <c r="F1534" s="325">
        <f t="shared" si="14"/>
        <v>1.7827155035636482</v>
      </c>
      <c r="G1534" s="326">
        <v>560.94200000000001</v>
      </c>
      <c r="H1534" s="182" t="s">
        <v>583</v>
      </c>
      <c r="I1534" s="182" t="s">
        <v>2536</v>
      </c>
      <c r="J1534" s="182" t="s">
        <v>98</v>
      </c>
      <c r="K1534" s="129" t="s">
        <v>1902</v>
      </c>
      <c r="L1534" s="182" t="s">
        <v>155</v>
      </c>
      <c r="M1534" s="129"/>
      <c r="N1534" s="129"/>
      <c r="O1534" s="450"/>
      <c r="P1534" s="450"/>
      <c r="Q1534" s="450"/>
    </row>
    <row r="1535" spans="1:17" ht="15.6">
      <c r="A1535" s="504">
        <v>45887</v>
      </c>
      <c r="B1535" s="182" t="s">
        <v>2515</v>
      </c>
      <c r="C1535" s="182" t="s">
        <v>174</v>
      </c>
      <c r="D1535" s="182" t="s">
        <v>118</v>
      </c>
      <c r="E1535" s="435">
        <v>1000</v>
      </c>
      <c r="F1535" s="325">
        <f t="shared" si="14"/>
        <v>1.7827155035636482</v>
      </c>
      <c r="G1535" s="326">
        <v>560.94200000000001</v>
      </c>
      <c r="H1535" s="182" t="s">
        <v>583</v>
      </c>
      <c r="I1535" s="182" t="s">
        <v>2536</v>
      </c>
      <c r="J1535" s="182" t="s">
        <v>98</v>
      </c>
      <c r="K1535" s="129" t="s">
        <v>1902</v>
      </c>
      <c r="L1535" s="182" t="s">
        <v>155</v>
      </c>
      <c r="M1535" s="147"/>
      <c r="N1535" s="129"/>
      <c r="O1535" s="450"/>
      <c r="P1535" s="450"/>
      <c r="Q1535" s="450"/>
    </row>
    <row r="1536" spans="1:17" ht="15.6">
      <c r="A1536" s="504">
        <v>45887</v>
      </c>
      <c r="B1536" s="182" t="s">
        <v>2516</v>
      </c>
      <c r="C1536" s="182" t="s">
        <v>174</v>
      </c>
      <c r="D1536" s="182" t="s">
        <v>118</v>
      </c>
      <c r="E1536" s="435">
        <v>1000</v>
      </c>
      <c r="F1536" s="325">
        <f t="shared" si="14"/>
        <v>1.7827155035636482</v>
      </c>
      <c r="G1536" s="326">
        <v>560.94200000000001</v>
      </c>
      <c r="H1536" s="182" t="s">
        <v>583</v>
      </c>
      <c r="I1536" s="182" t="s">
        <v>2536</v>
      </c>
      <c r="J1536" s="182" t="s">
        <v>98</v>
      </c>
      <c r="K1536" s="129" t="s">
        <v>1902</v>
      </c>
      <c r="L1536" s="182" t="s">
        <v>155</v>
      </c>
      <c r="M1536" s="129"/>
      <c r="N1536" s="129"/>
      <c r="O1536" s="450"/>
      <c r="P1536" s="450"/>
      <c r="Q1536" s="450"/>
    </row>
    <row r="1537" spans="1:17" ht="15.6">
      <c r="A1537" s="504">
        <v>45887</v>
      </c>
      <c r="B1537" s="182" t="s">
        <v>2517</v>
      </c>
      <c r="C1537" s="496" t="s">
        <v>152</v>
      </c>
      <c r="D1537" s="182" t="s">
        <v>119</v>
      </c>
      <c r="E1537" s="435">
        <v>10000</v>
      </c>
      <c r="F1537" s="325">
        <f t="shared" si="14"/>
        <v>17.827155035636483</v>
      </c>
      <c r="G1537" s="326">
        <v>560.94200000000001</v>
      </c>
      <c r="H1537" s="182" t="s">
        <v>583</v>
      </c>
      <c r="I1537" s="182" t="s">
        <v>2539</v>
      </c>
      <c r="J1537" s="182" t="s">
        <v>98</v>
      </c>
      <c r="K1537" s="129" t="s">
        <v>1902</v>
      </c>
      <c r="L1537" s="182" t="s">
        <v>155</v>
      </c>
      <c r="M1537" s="129"/>
      <c r="N1537" s="129"/>
      <c r="O1537" s="450"/>
      <c r="P1537" s="450"/>
      <c r="Q1537" s="450"/>
    </row>
    <row r="1538" spans="1:17" ht="15.6">
      <c r="A1538" s="467">
        <v>45887</v>
      </c>
      <c r="B1538" s="177" t="s">
        <v>3042</v>
      </c>
      <c r="C1538" s="177" t="s">
        <v>174</v>
      </c>
      <c r="D1538" s="177" t="s">
        <v>121</v>
      </c>
      <c r="E1538" s="177">
        <v>500</v>
      </c>
      <c r="F1538" s="325">
        <f t="shared" si="14"/>
        <v>0.89135775178182408</v>
      </c>
      <c r="G1538" s="326">
        <v>560.94200000000001</v>
      </c>
      <c r="H1538" s="177" t="s">
        <v>184</v>
      </c>
      <c r="I1538" s="177" t="s">
        <v>2558</v>
      </c>
      <c r="J1538" s="182" t="s">
        <v>98</v>
      </c>
      <c r="K1538" s="129" t="s">
        <v>1902</v>
      </c>
      <c r="L1538" s="182" t="s">
        <v>155</v>
      </c>
      <c r="M1538" s="189"/>
      <c r="N1538" s="189"/>
      <c r="O1538" s="450"/>
      <c r="P1538" s="450"/>
      <c r="Q1538" s="450"/>
    </row>
    <row r="1539" spans="1:17" ht="15.6">
      <c r="A1539" s="467">
        <v>45887</v>
      </c>
      <c r="B1539" s="177" t="s">
        <v>3042</v>
      </c>
      <c r="C1539" s="177" t="s">
        <v>174</v>
      </c>
      <c r="D1539" s="177" t="s">
        <v>121</v>
      </c>
      <c r="E1539" s="177">
        <v>500</v>
      </c>
      <c r="F1539" s="325">
        <f t="shared" si="14"/>
        <v>0.89135775178182408</v>
      </c>
      <c r="G1539" s="326">
        <v>560.94200000000001</v>
      </c>
      <c r="H1539" s="177" t="s">
        <v>184</v>
      </c>
      <c r="I1539" s="177" t="s">
        <v>2558</v>
      </c>
      <c r="J1539" s="182" t="s">
        <v>98</v>
      </c>
      <c r="K1539" s="129" t="s">
        <v>1902</v>
      </c>
      <c r="L1539" s="182" t="s">
        <v>155</v>
      </c>
      <c r="M1539" s="129"/>
      <c r="N1539" s="129"/>
      <c r="O1539" s="450"/>
      <c r="P1539" s="450"/>
      <c r="Q1539" s="450"/>
    </row>
    <row r="1540" spans="1:17" ht="15.6">
      <c r="A1540" s="467">
        <v>45887</v>
      </c>
      <c r="B1540" s="177" t="s">
        <v>3039</v>
      </c>
      <c r="C1540" s="177" t="s">
        <v>174</v>
      </c>
      <c r="D1540" s="177" t="s">
        <v>121</v>
      </c>
      <c r="E1540" s="177">
        <v>1000</v>
      </c>
      <c r="F1540" s="325">
        <f t="shared" si="14"/>
        <v>1.7827155035636482</v>
      </c>
      <c r="G1540" s="326">
        <v>560.94200000000001</v>
      </c>
      <c r="H1540" s="177" t="s">
        <v>184</v>
      </c>
      <c r="I1540" s="177" t="s">
        <v>2558</v>
      </c>
      <c r="J1540" s="182" t="s">
        <v>98</v>
      </c>
      <c r="K1540" s="129" t="s">
        <v>1902</v>
      </c>
      <c r="L1540" s="182" t="s">
        <v>155</v>
      </c>
      <c r="M1540" s="129"/>
      <c r="N1540" s="129"/>
      <c r="O1540" s="450"/>
      <c r="P1540" s="450"/>
      <c r="Q1540" s="450"/>
    </row>
    <row r="1541" spans="1:17" ht="15.6">
      <c r="A1541" s="467">
        <v>45887</v>
      </c>
      <c r="B1541" s="177" t="s">
        <v>3041</v>
      </c>
      <c r="C1541" s="177" t="s">
        <v>174</v>
      </c>
      <c r="D1541" s="177" t="s">
        <v>121</v>
      </c>
      <c r="E1541" s="177">
        <v>1000</v>
      </c>
      <c r="F1541" s="325">
        <f t="shared" si="14"/>
        <v>1.7827155035636482</v>
      </c>
      <c r="G1541" s="326">
        <v>560.94200000000001</v>
      </c>
      <c r="H1541" s="177" t="s">
        <v>184</v>
      </c>
      <c r="I1541" s="177" t="s">
        <v>2558</v>
      </c>
      <c r="J1541" s="182" t="s">
        <v>98</v>
      </c>
      <c r="K1541" s="129" t="s">
        <v>1902</v>
      </c>
      <c r="L1541" s="182" t="s">
        <v>155</v>
      </c>
      <c r="M1541" s="129"/>
      <c r="N1541" s="129"/>
      <c r="O1541" s="450"/>
      <c r="P1541" s="450"/>
      <c r="Q1541" s="450"/>
    </row>
    <row r="1542" spans="1:17" ht="15.6">
      <c r="A1542" s="467">
        <v>45887</v>
      </c>
      <c r="B1542" s="177" t="s">
        <v>3041</v>
      </c>
      <c r="C1542" s="177" t="s">
        <v>174</v>
      </c>
      <c r="D1542" s="177" t="s">
        <v>121</v>
      </c>
      <c r="E1542" s="177">
        <v>1000</v>
      </c>
      <c r="F1542" s="325">
        <f t="shared" si="14"/>
        <v>1.7827155035636482</v>
      </c>
      <c r="G1542" s="326">
        <v>560.94200000000001</v>
      </c>
      <c r="H1542" s="177" t="s">
        <v>184</v>
      </c>
      <c r="I1542" s="177" t="s">
        <v>2558</v>
      </c>
      <c r="J1542" s="182" t="s">
        <v>98</v>
      </c>
      <c r="K1542" s="129" t="s">
        <v>1902</v>
      </c>
      <c r="L1542" s="182" t="s">
        <v>155</v>
      </c>
      <c r="M1542" s="129"/>
      <c r="N1542" s="129"/>
      <c r="O1542" s="450"/>
      <c r="P1542" s="450"/>
      <c r="Q1542" s="450"/>
    </row>
    <row r="1543" spans="1:17" ht="15.6">
      <c r="A1543" s="467">
        <v>45887</v>
      </c>
      <c r="B1543" s="177" t="s">
        <v>3042</v>
      </c>
      <c r="C1543" s="177" t="s">
        <v>174</v>
      </c>
      <c r="D1543" s="177" t="s">
        <v>121</v>
      </c>
      <c r="E1543" s="177">
        <v>500</v>
      </c>
      <c r="F1543" s="325">
        <f t="shared" si="14"/>
        <v>0.89135775178182408</v>
      </c>
      <c r="G1543" s="326">
        <v>560.94200000000001</v>
      </c>
      <c r="H1543" s="177" t="s">
        <v>184</v>
      </c>
      <c r="I1543" s="177" t="s">
        <v>2558</v>
      </c>
      <c r="J1543" s="182" t="s">
        <v>98</v>
      </c>
      <c r="K1543" s="129" t="s">
        <v>1902</v>
      </c>
      <c r="L1543" s="182" t="s">
        <v>155</v>
      </c>
      <c r="M1543" s="129"/>
      <c r="N1543" s="129"/>
      <c r="O1543" s="450"/>
      <c r="P1543" s="450"/>
      <c r="Q1543" s="450"/>
    </row>
    <row r="1544" spans="1:17" ht="15.6">
      <c r="A1544" s="467">
        <v>45887</v>
      </c>
      <c r="B1544" s="177" t="s">
        <v>3039</v>
      </c>
      <c r="C1544" s="177" t="s">
        <v>174</v>
      </c>
      <c r="D1544" s="177" t="s">
        <v>121</v>
      </c>
      <c r="E1544" s="177">
        <v>1000</v>
      </c>
      <c r="F1544" s="325">
        <f t="shared" si="14"/>
        <v>1.7827155035636482</v>
      </c>
      <c r="G1544" s="326">
        <v>560.94200000000001</v>
      </c>
      <c r="H1544" s="177" t="s">
        <v>184</v>
      </c>
      <c r="I1544" s="177" t="s">
        <v>2558</v>
      </c>
      <c r="J1544" s="182" t="s">
        <v>98</v>
      </c>
      <c r="K1544" s="129" t="s">
        <v>1902</v>
      </c>
      <c r="L1544" s="182" t="s">
        <v>155</v>
      </c>
      <c r="M1544" s="129"/>
      <c r="N1544" s="129"/>
      <c r="O1544" s="450"/>
      <c r="P1544" s="450"/>
      <c r="Q1544" s="450"/>
    </row>
    <row r="1545" spans="1:17" ht="15.6">
      <c r="A1545" s="467">
        <v>45887</v>
      </c>
      <c r="B1545" s="177" t="s">
        <v>2555</v>
      </c>
      <c r="C1545" s="177" t="s">
        <v>152</v>
      </c>
      <c r="D1545" s="177" t="s">
        <v>121</v>
      </c>
      <c r="E1545" s="177">
        <v>10000</v>
      </c>
      <c r="F1545" s="325">
        <f t="shared" si="14"/>
        <v>17.827155035636483</v>
      </c>
      <c r="G1545" s="326">
        <v>560.94200000000001</v>
      </c>
      <c r="H1545" s="177" t="s">
        <v>184</v>
      </c>
      <c r="I1545" s="177" t="s">
        <v>2568</v>
      </c>
      <c r="J1545" s="182" t="s">
        <v>98</v>
      </c>
      <c r="K1545" s="129" t="s">
        <v>1902</v>
      </c>
      <c r="L1545" s="182" t="s">
        <v>155</v>
      </c>
      <c r="M1545" s="129"/>
      <c r="N1545" s="129"/>
      <c r="O1545" s="450"/>
      <c r="P1545" s="450"/>
      <c r="Q1545" s="450"/>
    </row>
    <row r="1546" spans="1:17" ht="15.6">
      <c r="A1546" s="467">
        <v>45887</v>
      </c>
      <c r="B1546" s="177" t="s">
        <v>2556</v>
      </c>
      <c r="C1546" s="177" t="s">
        <v>152</v>
      </c>
      <c r="D1546" s="177" t="s">
        <v>2551</v>
      </c>
      <c r="E1546" s="177">
        <v>5000</v>
      </c>
      <c r="F1546" s="325">
        <f t="shared" si="14"/>
        <v>8.9135775178182417</v>
      </c>
      <c r="G1546" s="326">
        <v>560.94200000000001</v>
      </c>
      <c r="H1546" s="177" t="s">
        <v>184</v>
      </c>
      <c r="I1546" s="177" t="s">
        <v>2569</v>
      </c>
      <c r="J1546" s="182" t="s">
        <v>98</v>
      </c>
      <c r="K1546" s="129" t="s">
        <v>1902</v>
      </c>
      <c r="L1546" s="182" t="s">
        <v>155</v>
      </c>
      <c r="M1546" s="129"/>
      <c r="N1546" s="129"/>
      <c r="O1546" s="450"/>
      <c r="P1546" s="450"/>
      <c r="Q1546" s="450"/>
    </row>
    <row r="1547" spans="1:17" ht="15.6">
      <c r="A1547" s="505">
        <v>45887</v>
      </c>
      <c r="B1547" s="182" t="s">
        <v>3083</v>
      </c>
      <c r="C1547" s="182" t="s">
        <v>174</v>
      </c>
      <c r="D1547" s="177" t="s">
        <v>121</v>
      </c>
      <c r="E1547" s="182">
        <v>500</v>
      </c>
      <c r="F1547" s="325">
        <f t="shared" si="14"/>
        <v>0.89135775178182408</v>
      </c>
      <c r="G1547" s="326">
        <v>560.94200000000001</v>
      </c>
      <c r="H1547" s="182" t="s">
        <v>175</v>
      </c>
      <c r="I1547" s="182" t="s">
        <v>2588</v>
      </c>
      <c r="J1547" s="182" t="s">
        <v>98</v>
      </c>
      <c r="K1547" s="129" t="s">
        <v>1902</v>
      </c>
      <c r="L1547" s="182" t="s">
        <v>155</v>
      </c>
      <c r="M1547" s="129"/>
      <c r="N1547" s="129"/>
      <c r="O1547" s="450"/>
      <c r="P1547" s="450"/>
      <c r="Q1547" s="450"/>
    </row>
    <row r="1548" spans="1:17" ht="15.6">
      <c r="A1548" s="505">
        <v>45887</v>
      </c>
      <c r="B1548" s="182" t="s">
        <v>3083</v>
      </c>
      <c r="C1548" s="182" t="s">
        <v>174</v>
      </c>
      <c r="D1548" s="177" t="s">
        <v>121</v>
      </c>
      <c r="E1548" s="182">
        <v>500</v>
      </c>
      <c r="F1548" s="325">
        <f t="shared" si="14"/>
        <v>0.89135775178182408</v>
      </c>
      <c r="G1548" s="326">
        <v>560.94200000000001</v>
      </c>
      <c r="H1548" s="182" t="s">
        <v>175</v>
      </c>
      <c r="I1548" s="182" t="s">
        <v>2588</v>
      </c>
      <c r="J1548" s="182" t="s">
        <v>98</v>
      </c>
      <c r="K1548" s="129" t="s">
        <v>1902</v>
      </c>
      <c r="L1548" s="182" t="s">
        <v>155</v>
      </c>
      <c r="M1548" s="129"/>
      <c r="N1548" s="129"/>
      <c r="O1548" s="450"/>
      <c r="P1548" s="450"/>
      <c r="Q1548" s="450"/>
    </row>
    <row r="1549" spans="1:17" ht="15.6">
      <c r="A1549" s="505">
        <v>45887</v>
      </c>
      <c r="B1549" s="182" t="s">
        <v>3083</v>
      </c>
      <c r="C1549" s="182" t="s">
        <v>174</v>
      </c>
      <c r="D1549" s="177" t="s">
        <v>121</v>
      </c>
      <c r="E1549" s="182">
        <v>500</v>
      </c>
      <c r="F1549" s="325">
        <f t="shared" si="14"/>
        <v>0.89135775178182408</v>
      </c>
      <c r="G1549" s="326">
        <v>560.94200000000001</v>
      </c>
      <c r="H1549" s="182" t="s">
        <v>175</v>
      </c>
      <c r="I1549" s="182" t="s">
        <v>2588</v>
      </c>
      <c r="J1549" s="182" t="s">
        <v>98</v>
      </c>
      <c r="K1549" s="129" t="s">
        <v>1902</v>
      </c>
      <c r="L1549" s="182" t="s">
        <v>155</v>
      </c>
      <c r="M1549" s="129"/>
      <c r="N1549" s="129"/>
      <c r="O1549" s="450"/>
      <c r="P1549" s="450"/>
      <c r="Q1549" s="450"/>
    </row>
    <row r="1550" spans="1:17" ht="15.6">
      <c r="A1550" s="505">
        <v>45887</v>
      </c>
      <c r="B1550" s="182" t="s">
        <v>3005</v>
      </c>
      <c r="C1550" s="182" t="s">
        <v>174</v>
      </c>
      <c r="D1550" s="177" t="s">
        <v>121</v>
      </c>
      <c r="E1550" s="182">
        <v>500</v>
      </c>
      <c r="F1550" s="325">
        <f t="shared" si="14"/>
        <v>0.89135775178182408</v>
      </c>
      <c r="G1550" s="326">
        <v>560.94200000000001</v>
      </c>
      <c r="H1550" s="182" t="s">
        <v>175</v>
      </c>
      <c r="I1550" s="182" t="s">
        <v>2588</v>
      </c>
      <c r="J1550" s="182" t="s">
        <v>98</v>
      </c>
      <c r="K1550" s="129" t="s">
        <v>1902</v>
      </c>
      <c r="L1550" s="182" t="s">
        <v>155</v>
      </c>
      <c r="M1550" s="129"/>
      <c r="N1550" s="129"/>
      <c r="O1550" s="450"/>
      <c r="P1550" s="450"/>
      <c r="Q1550" s="450"/>
    </row>
    <row r="1551" spans="1:17" ht="15.6">
      <c r="A1551" s="505">
        <v>45887</v>
      </c>
      <c r="B1551" s="177" t="s">
        <v>2585</v>
      </c>
      <c r="C1551" s="177" t="s">
        <v>152</v>
      </c>
      <c r="D1551" s="177" t="s">
        <v>121</v>
      </c>
      <c r="E1551" s="182">
        <v>15000</v>
      </c>
      <c r="F1551" s="325">
        <f t="shared" si="14"/>
        <v>26.740732553454723</v>
      </c>
      <c r="G1551" s="326">
        <v>560.94200000000001</v>
      </c>
      <c r="H1551" s="182" t="s">
        <v>175</v>
      </c>
      <c r="I1551" s="182" t="s">
        <v>2598</v>
      </c>
      <c r="J1551" s="182" t="s">
        <v>98</v>
      </c>
      <c r="K1551" s="129" t="s">
        <v>1902</v>
      </c>
      <c r="L1551" s="182" t="s">
        <v>155</v>
      </c>
      <c r="M1551" s="436"/>
      <c r="N1551" s="436"/>
      <c r="O1551" s="450"/>
      <c r="P1551" s="450"/>
      <c r="Q1551" s="450"/>
    </row>
    <row r="1552" spans="1:17" ht="15.6">
      <c r="A1552" s="505">
        <v>45887</v>
      </c>
      <c r="B1552" s="182" t="s">
        <v>3146</v>
      </c>
      <c r="C1552" s="182" t="s">
        <v>174</v>
      </c>
      <c r="D1552" s="182" t="s">
        <v>121</v>
      </c>
      <c r="E1552" s="182">
        <v>1000</v>
      </c>
      <c r="F1552" s="325">
        <f t="shared" si="14"/>
        <v>1.7827155035636482</v>
      </c>
      <c r="G1552" s="326">
        <v>560.94200000000001</v>
      </c>
      <c r="H1552" s="182" t="s">
        <v>317</v>
      </c>
      <c r="I1552" s="182" t="s">
        <v>2632</v>
      </c>
      <c r="J1552" s="182" t="s">
        <v>98</v>
      </c>
      <c r="K1552" s="129" t="s">
        <v>1902</v>
      </c>
      <c r="L1552" s="182" t="s">
        <v>155</v>
      </c>
      <c r="M1552" s="436"/>
      <c r="N1552" s="436"/>
      <c r="O1552" s="450"/>
      <c r="P1552" s="450"/>
      <c r="Q1552" s="450"/>
    </row>
    <row r="1553" spans="1:17" ht="15.6">
      <c r="A1553" s="505">
        <v>45887</v>
      </c>
      <c r="B1553" s="182" t="s">
        <v>3057</v>
      </c>
      <c r="C1553" s="182" t="s">
        <v>174</v>
      </c>
      <c r="D1553" s="182" t="s">
        <v>121</v>
      </c>
      <c r="E1553" s="182">
        <v>1000</v>
      </c>
      <c r="F1553" s="325">
        <f t="shared" si="14"/>
        <v>1.7827155035636482</v>
      </c>
      <c r="G1553" s="326">
        <v>560.94200000000001</v>
      </c>
      <c r="H1553" s="182" t="s">
        <v>317</v>
      </c>
      <c r="I1553" s="182" t="s">
        <v>2632</v>
      </c>
      <c r="J1553" s="182" t="s">
        <v>98</v>
      </c>
      <c r="K1553" s="129" t="s">
        <v>1902</v>
      </c>
      <c r="L1553" s="182" t="s">
        <v>155</v>
      </c>
      <c r="M1553" s="436"/>
      <c r="N1553" s="436"/>
      <c r="O1553" s="450"/>
      <c r="P1553" s="450"/>
      <c r="Q1553" s="450"/>
    </row>
    <row r="1554" spans="1:17" ht="15.6">
      <c r="A1554" s="505">
        <v>45887</v>
      </c>
      <c r="B1554" s="182" t="s">
        <v>3066</v>
      </c>
      <c r="C1554" s="182" t="s">
        <v>174</v>
      </c>
      <c r="D1554" s="182" t="s">
        <v>121</v>
      </c>
      <c r="E1554" s="182">
        <v>5000</v>
      </c>
      <c r="F1554" s="325">
        <f t="shared" si="14"/>
        <v>8.9135775178182417</v>
      </c>
      <c r="G1554" s="326">
        <v>560.94200000000001</v>
      </c>
      <c r="H1554" s="182" t="s">
        <v>317</v>
      </c>
      <c r="I1554" s="182" t="s">
        <v>2635</v>
      </c>
      <c r="J1554" s="182" t="s">
        <v>98</v>
      </c>
      <c r="K1554" s="129" t="s">
        <v>1902</v>
      </c>
      <c r="L1554" s="182" t="s">
        <v>155</v>
      </c>
      <c r="M1554" s="436"/>
      <c r="N1554" s="436"/>
      <c r="O1554" s="450"/>
      <c r="P1554" s="450"/>
      <c r="Q1554" s="450"/>
    </row>
    <row r="1555" spans="1:17" ht="15.6">
      <c r="A1555" s="505">
        <v>45887</v>
      </c>
      <c r="B1555" s="182" t="s">
        <v>3073</v>
      </c>
      <c r="C1555" s="182" t="s">
        <v>174</v>
      </c>
      <c r="D1555" s="182" t="s">
        <v>121</v>
      </c>
      <c r="E1555" s="182">
        <v>2000</v>
      </c>
      <c r="F1555" s="325">
        <f t="shared" si="14"/>
        <v>3.5654310071272963</v>
      </c>
      <c r="G1555" s="326">
        <v>560.94200000000001</v>
      </c>
      <c r="H1555" s="182" t="s">
        <v>317</v>
      </c>
      <c r="I1555" s="182" t="s">
        <v>2632</v>
      </c>
      <c r="J1555" s="182" t="s">
        <v>98</v>
      </c>
      <c r="K1555" s="129" t="s">
        <v>1902</v>
      </c>
      <c r="L1555" s="182" t="s">
        <v>155</v>
      </c>
      <c r="M1555" s="436"/>
      <c r="N1555" s="436"/>
      <c r="O1555" s="450"/>
      <c r="P1555" s="450"/>
      <c r="Q1555" s="450"/>
    </row>
    <row r="1556" spans="1:17" ht="15.6">
      <c r="A1556" s="505">
        <v>45887</v>
      </c>
      <c r="B1556" s="182" t="s">
        <v>2626</v>
      </c>
      <c r="C1556" s="182" t="s">
        <v>152</v>
      </c>
      <c r="D1556" s="182" t="s">
        <v>121</v>
      </c>
      <c r="E1556" s="182">
        <v>15000</v>
      </c>
      <c r="F1556" s="325">
        <f t="shared" si="14"/>
        <v>26.740732553454723</v>
      </c>
      <c r="G1556" s="326">
        <v>560.94200000000001</v>
      </c>
      <c r="H1556" s="182" t="s">
        <v>317</v>
      </c>
      <c r="I1556" s="182" t="s">
        <v>2636</v>
      </c>
      <c r="J1556" s="182" t="s">
        <v>98</v>
      </c>
      <c r="K1556" s="129" t="s">
        <v>1902</v>
      </c>
      <c r="L1556" s="182" t="s">
        <v>155</v>
      </c>
      <c r="M1556" s="436"/>
      <c r="N1556" s="436"/>
      <c r="O1556" s="450"/>
      <c r="P1556" s="450"/>
      <c r="Q1556" s="450"/>
    </row>
    <row r="1557" spans="1:17" ht="15.6">
      <c r="A1557" s="505">
        <v>45887</v>
      </c>
      <c r="B1557" s="182" t="s">
        <v>3111</v>
      </c>
      <c r="C1557" s="182" t="s">
        <v>174</v>
      </c>
      <c r="D1557" s="182" t="s">
        <v>121</v>
      </c>
      <c r="E1557" s="496">
        <v>12000</v>
      </c>
      <c r="F1557" s="325">
        <f t="shared" si="14"/>
        <v>21.392586042763778</v>
      </c>
      <c r="G1557" s="326">
        <v>560.94200000000001</v>
      </c>
      <c r="H1557" s="182" t="s">
        <v>323</v>
      </c>
      <c r="I1557" s="182" t="s">
        <v>2673</v>
      </c>
      <c r="J1557" s="182" t="s">
        <v>98</v>
      </c>
      <c r="K1557" s="129" t="s">
        <v>1902</v>
      </c>
      <c r="L1557" s="182" t="s">
        <v>155</v>
      </c>
      <c r="M1557" s="436"/>
      <c r="N1557" s="436"/>
      <c r="O1557" s="450"/>
      <c r="P1557" s="450"/>
      <c r="Q1557" s="450"/>
    </row>
    <row r="1558" spans="1:17" ht="15.6">
      <c r="A1558" s="505">
        <v>45887</v>
      </c>
      <c r="B1558" s="182" t="s">
        <v>2659</v>
      </c>
      <c r="C1558" s="182" t="s">
        <v>152</v>
      </c>
      <c r="D1558" s="182" t="s">
        <v>121</v>
      </c>
      <c r="E1558" s="496">
        <v>5000</v>
      </c>
      <c r="F1558" s="325">
        <f t="shared" si="14"/>
        <v>8.9135775178182417</v>
      </c>
      <c r="G1558" s="326">
        <v>560.94200000000001</v>
      </c>
      <c r="H1558" s="182" t="s">
        <v>323</v>
      </c>
      <c r="I1558" s="182" t="s">
        <v>2674</v>
      </c>
      <c r="J1558" s="182" t="s">
        <v>98</v>
      </c>
      <c r="K1558" s="129" t="s">
        <v>1902</v>
      </c>
      <c r="L1558" s="182" t="s">
        <v>155</v>
      </c>
      <c r="M1558" s="436"/>
      <c r="N1558" s="436"/>
      <c r="O1558" s="450"/>
      <c r="P1558" s="450"/>
      <c r="Q1558" s="450"/>
    </row>
    <row r="1559" spans="1:17" ht="15.6">
      <c r="A1559" s="505">
        <v>45887</v>
      </c>
      <c r="B1559" s="182" t="s">
        <v>2660</v>
      </c>
      <c r="C1559" s="182" t="s">
        <v>152</v>
      </c>
      <c r="D1559" s="182" t="s">
        <v>121</v>
      </c>
      <c r="E1559" s="496">
        <v>10000</v>
      </c>
      <c r="F1559" s="325">
        <f t="shared" si="14"/>
        <v>17.827155035636483</v>
      </c>
      <c r="G1559" s="326">
        <v>560.94200000000001</v>
      </c>
      <c r="H1559" s="182" t="s">
        <v>323</v>
      </c>
      <c r="I1559" s="182" t="s">
        <v>2675</v>
      </c>
      <c r="J1559" s="182" t="s">
        <v>98</v>
      </c>
      <c r="K1559" s="129" t="s">
        <v>1902</v>
      </c>
      <c r="L1559" s="182" t="s">
        <v>155</v>
      </c>
      <c r="M1559" s="436"/>
      <c r="N1559" s="436"/>
      <c r="O1559" s="450"/>
      <c r="P1559" s="450"/>
      <c r="Q1559" s="450"/>
    </row>
    <row r="1560" spans="1:17" ht="15.6">
      <c r="A1560" s="505">
        <v>45887</v>
      </c>
      <c r="B1560" s="182" t="s">
        <v>2685</v>
      </c>
      <c r="C1560" s="182" t="s">
        <v>174</v>
      </c>
      <c r="D1560" s="182" t="s">
        <v>117</v>
      </c>
      <c r="E1560" s="435">
        <v>500</v>
      </c>
      <c r="F1560" s="325">
        <f t="shared" si="14"/>
        <v>0.89135775178182408</v>
      </c>
      <c r="G1560" s="326">
        <v>560.94200000000001</v>
      </c>
      <c r="H1560" s="182" t="s">
        <v>190</v>
      </c>
      <c r="I1560" s="182" t="s">
        <v>2707</v>
      </c>
      <c r="J1560" s="182" t="s">
        <v>98</v>
      </c>
      <c r="K1560" s="129" t="s">
        <v>1902</v>
      </c>
      <c r="L1560" s="182" t="s">
        <v>155</v>
      </c>
      <c r="M1560" s="436"/>
      <c r="N1560" s="436"/>
      <c r="O1560" s="450"/>
      <c r="P1560" s="450"/>
      <c r="Q1560" s="450"/>
    </row>
    <row r="1561" spans="1:17" ht="15.6">
      <c r="A1561" s="505">
        <v>45887</v>
      </c>
      <c r="B1561" s="182" t="s">
        <v>2686</v>
      </c>
      <c r="C1561" s="182" t="s">
        <v>174</v>
      </c>
      <c r="D1561" s="182" t="s">
        <v>117</v>
      </c>
      <c r="E1561" s="435">
        <v>500</v>
      </c>
      <c r="F1561" s="325">
        <f t="shared" si="14"/>
        <v>0.89135775178182408</v>
      </c>
      <c r="G1561" s="326">
        <v>560.94200000000001</v>
      </c>
      <c r="H1561" s="182" t="s">
        <v>190</v>
      </c>
      <c r="I1561" s="182" t="s">
        <v>2707</v>
      </c>
      <c r="J1561" s="182" t="s">
        <v>98</v>
      </c>
      <c r="K1561" s="129" t="s">
        <v>1902</v>
      </c>
      <c r="L1561" s="182" t="s">
        <v>155</v>
      </c>
      <c r="M1561" s="436"/>
      <c r="N1561" s="436"/>
      <c r="O1561" s="450"/>
      <c r="P1561" s="450"/>
      <c r="Q1561" s="450"/>
    </row>
    <row r="1562" spans="1:17" ht="15.6">
      <c r="A1562" s="506">
        <v>45887</v>
      </c>
      <c r="B1562" s="182" t="s">
        <v>2370</v>
      </c>
      <c r="C1562" s="182" t="s">
        <v>182</v>
      </c>
      <c r="D1562" s="182" t="s">
        <v>118</v>
      </c>
      <c r="E1562" s="435">
        <v>32940</v>
      </c>
      <c r="F1562" s="325">
        <f t="shared" si="14"/>
        <v>58.722648687386574</v>
      </c>
      <c r="G1562" s="326">
        <v>560.94200000000001</v>
      </c>
      <c r="H1562" s="182" t="s">
        <v>190</v>
      </c>
      <c r="I1562" s="182" t="s">
        <v>2371</v>
      </c>
      <c r="J1562" s="182" t="s">
        <v>98</v>
      </c>
      <c r="K1562" s="129" t="s">
        <v>1902</v>
      </c>
      <c r="L1562" s="182" t="s">
        <v>155</v>
      </c>
      <c r="M1562" s="436"/>
      <c r="N1562" s="436"/>
      <c r="O1562" s="450"/>
      <c r="P1562" s="450"/>
      <c r="Q1562" s="450"/>
    </row>
    <row r="1563" spans="1:17" ht="15.6">
      <c r="A1563" s="505">
        <v>45887</v>
      </c>
      <c r="B1563" s="182" t="s">
        <v>2687</v>
      </c>
      <c r="C1563" s="182" t="s">
        <v>152</v>
      </c>
      <c r="D1563" s="182" t="s">
        <v>117</v>
      </c>
      <c r="E1563" s="435">
        <v>5000</v>
      </c>
      <c r="F1563" s="325">
        <f t="shared" si="14"/>
        <v>8.9135775178182417</v>
      </c>
      <c r="G1563" s="326">
        <v>560.94200000000001</v>
      </c>
      <c r="H1563" s="182" t="s">
        <v>190</v>
      </c>
      <c r="I1563" s="182" t="s">
        <v>2708</v>
      </c>
      <c r="J1563" s="182" t="s">
        <v>98</v>
      </c>
      <c r="K1563" s="129" t="s">
        <v>1902</v>
      </c>
      <c r="L1563" s="182" t="s">
        <v>155</v>
      </c>
      <c r="M1563" s="436"/>
      <c r="N1563" s="436"/>
      <c r="O1563" s="450"/>
      <c r="P1563" s="450"/>
      <c r="Q1563" s="450"/>
    </row>
    <row r="1564" spans="1:17" ht="15.6">
      <c r="A1564" s="505">
        <v>45887</v>
      </c>
      <c r="B1564" s="182" t="s">
        <v>2688</v>
      </c>
      <c r="C1564" s="182" t="s">
        <v>152</v>
      </c>
      <c r="D1564" s="182" t="s">
        <v>117</v>
      </c>
      <c r="E1564" s="435">
        <v>5000</v>
      </c>
      <c r="F1564" s="325">
        <f t="shared" si="14"/>
        <v>8.9135775178182417</v>
      </c>
      <c r="G1564" s="326">
        <v>560.94200000000001</v>
      </c>
      <c r="H1564" s="182" t="s">
        <v>190</v>
      </c>
      <c r="I1564" s="182" t="s">
        <v>2709</v>
      </c>
      <c r="J1564" s="182" t="s">
        <v>98</v>
      </c>
      <c r="K1564" s="129" t="s">
        <v>1902</v>
      </c>
      <c r="L1564" s="182" t="s">
        <v>155</v>
      </c>
      <c r="M1564" s="436"/>
      <c r="N1564" s="436"/>
      <c r="O1564" s="450"/>
      <c r="P1564" s="450"/>
      <c r="Q1564" s="450"/>
    </row>
    <row r="1565" spans="1:17" ht="15.6">
      <c r="A1565" s="505">
        <v>45887</v>
      </c>
      <c r="B1565" s="182" t="s">
        <v>2717</v>
      </c>
      <c r="C1565" s="182" t="s">
        <v>174</v>
      </c>
      <c r="D1565" s="182" t="s">
        <v>117</v>
      </c>
      <c r="E1565" s="435">
        <v>1000</v>
      </c>
      <c r="F1565" s="325">
        <f t="shared" si="14"/>
        <v>1.7827155035636482</v>
      </c>
      <c r="G1565" s="326">
        <v>560.94200000000001</v>
      </c>
      <c r="H1565" s="182" t="s">
        <v>193</v>
      </c>
      <c r="I1565" s="182" t="s">
        <v>2753</v>
      </c>
      <c r="J1565" s="182" t="s">
        <v>98</v>
      </c>
      <c r="K1565" s="129" t="s">
        <v>1902</v>
      </c>
      <c r="L1565" s="182" t="s">
        <v>155</v>
      </c>
      <c r="M1565" s="436"/>
      <c r="N1565" s="436"/>
      <c r="O1565" s="450"/>
      <c r="P1565" s="450"/>
      <c r="Q1565" s="450"/>
    </row>
    <row r="1566" spans="1:17" ht="15.6">
      <c r="A1566" s="505">
        <v>45887</v>
      </c>
      <c r="B1566" s="182" t="s">
        <v>2718</v>
      </c>
      <c r="C1566" s="182" t="s">
        <v>174</v>
      </c>
      <c r="D1566" s="182" t="s">
        <v>117</v>
      </c>
      <c r="E1566" s="435">
        <v>8000</v>
      </c>
      <c r="F1566" s="325">
        <f t="shared" si="14"/>
        <v>14.261724028509185</v>
      </c>
      <c r="G1566" s="326">
        <v>560.94200000000001</v>
      </c>
      <c r="H1566" s="182" t="s">
        <v>193</v>
      </c>
      <c r="I1566" s="182" t="s">
        <v>2754</v>
      </c>
      <c r="J1566" s="182" t="s">
        <v>98</v>
      </c>
      <c r="K1566" s="129" t="s">
        <v>1902</v>
      </c>
      <c r="L1566" s="182" t="s">
        <v>155</v>
      </c>
      <c r="M1566" s="436"/>
      <c r="N1566" s="436"/>
      <c r="O1566" s="450"/>
      <c r="P1566" s="450"/>
      <c r="Q1566" s="450"/>
    </row>
    <row r="1567" spans="1:17" ht="15.6">
      <c r="A1567" s="505">
        <v>45887</v>
      </c>
      <c r="B1567" s="182" t="s">
        <v>2719</v>
      </c>
      <c r="C1567" s="182" t="s">
        <v>174</v>
      </c>
      <c r="D1567" s="182" t="s">
        <v>117</v>
      </c>
      <c r="E1567" s="435">
        <v>1000</v>
      </c>
      <c r="F1567" s="325">
        <f t="shared" si="14"/>
        <v>1.7827155035636482</v>
      </c>
      <c r="G1567" s="326">
        <v>560.94200000000001</v>
      </c>
      <c r="H1567" s="182" t="s">
        <v>193</v>
      </c>
      <c r="I1567" s="182" t="s">
        <v>2753</v>
      </c>
      <c r="J1567" s="182" t="s">
        <v>98</v>
      </c>
      <c r="K1567" s="129" t="s">
        <v>1902</v>
      </c>
      <c r="L1567" s="182" t="s">
        <v>155</v>
      </c>
      <c r="M1567" s="436"/>
      <c r="N1567" s="436"/>
      <c r="O1567" s="450"/>
      <c r="P1567" s="450"/>
      <c r="Q1567" s="450"/>
    </row>
    <row r="1568" spans="1:17" ht="15.6">
      <c r="A1568" s="505">
        <v>45887</v>
      </c>
      <c r="B1568" s="182" t="s">
        <v>2720</v>
      </c>
      <c r="C1568" s="182" t="s">
        <v>152</v>
      </c>
      <c r="D1568" s="182" t="s">
        <v>117</v>
      </c>
      <c r="E1568" s="435">
        <v>10000</v>
      </c>
      <c r="F1568" s="325">
        <f t="shared" ref="F1568:F1642" si="15">E1568/G1568</f>
        <v>17.827155035636483</v>
      </c>
      <c r="G1568" s="326">
        <v>560.94200000000001</v>
      </c>
      <c r="H1568" s="182" t="s">
        <v>193</v>
      </c>
      <c r="I1568" s="182" t="s">
        <v>2755</v>
      </c>
      <c r="J1568" s="182" t="s">
        <v>98</v>
      </c>
      <c r="K1568" s="129" t="s">
        <v>1902</v>
      </c>
      <c r="L1568" s="182" t="s">
        <v>155</v>
      </c>
      <c r="M1568" s="436"/>
      <c r="N1568" s="436"/>
      <c r="O1568" s="450"/>
      <c r="P1568" s="450"/>
      <c r="Q1568" s="450"/>
    </row>
    <row r="1569" spans="1:17" ht="15.6">
      <c r="A1569" s="503">
        <v>45887</v>
      </c>
      <c r="B1569" s="182" t="s">
        <v>2780</v>
      </c>
      <c r="C1569" s="517" t="s">
        <v>196</v>
      </c>
      <c r="D1569" s="517" t="s">
        <v>117</v>
      </c>
      <c r="E1569" s="496">
        <v>500</v>
      </c>
      <c r="F1569" s="325">
        <f t="shared" si="15"/>
        <v>0.89135775178182408</v>
      </c>
      <c r="G1569" s="326">
        <v>560.94200000000001</v>
      </c>
      <c r="H1569" s="517" t="s">
        <v>437</v>
      </c>
      <c r="I1569" s="182" t="s">
        <v>2817</v>
      </c>
      <c r="J1569" s="182" t="s">
        <v>98</v>
      </c>
      <c r="K1569" s="129" t="s">
        <v>1902</v>
      </c>
      <c r="L1569" s="182" t="s">
        <v>155</v>
      </c>
      <c r="M1569" s="436"/>
      <c r="N1569" s="436"/>
      <c r="O1569" s="450"/>
      <c r="P1569" s="450"/>
      <c r="Q1569" s="450"/>
    </row>
    <row r="1570" spans="1:17" ht="15.6">
      <c r="A1570" s="503">
        <v>45887</v>
      </c>
      <c r="B1570" s="182" t="s">
        <v>2781</v>
      </c>
      <c r="C1570" s="517" t="s">
        <v>196</v>
      </c>
      <c r="D1570" s="517" t="s">
        <v>117</v>
      </c>
      <c r="E1570" s="496">
        <v>500</v>
      </c>
      <c r="F1570" s="325">
        <f t="shared" si="15"/>
        <v>0.89135775178182408</v>
      </c>
      <c r="G1570" s="326">
        <v>560.94200000000001</v>
      </c>
      <c r="H1570" s="517" t="s">
        <v>437</v>
      </c>
      <c r="I1570" s="182" t="s">
        <v>2817</v>
      </c>
      <c r="J1570" s="182" t="s">
        <v>98</v>
      </c>
      <c r="K1570" s="129" t="s">
        <v>1902</v>
      </c>
      <c r="L1570" s="182" t="s">
        <v>155</v>
      </c>
      <c r="M1570" s="436"/>
      <c r="N1570" s="436"/>
      <c r="O1570" s="450"/>
      <c r="P1570" s="450"/>
      <c r="Q1570" s="450"/>
    </row>
    <row r="1571" spans="1:17" ht="15.6">
      <c r="A1571" s="503">
        <v>45887</v>
      </c>
      <c r="B1571" s="182" t="s">
        <v>2782</v>
      </c>
      <c r="C1571" s="517" t="s">
        <v>152</v>
      </c>
      <c r="D1571" s="517" t="s">
        <v>117</v>
      </c>
      <c r="E1571" s="496">
        <v>10000</v>
      </c>
      <c r="F1571" s="325">
        <f t="shared" si="15"/>
        <v>17.827155035636483</v>
      </c>
      <c r="G1571" s="326">
        <v>560.94200000000001</v>
      </c>
      <c r="H1571" s="517" t="s">
        <v>437</v>
      </c>
      <c r="I1571" s="182" t="s">
        <v>2823</v>
      </c>
      <c r="J1571" s="182" t="s">
        <v>98</v>
      </c>
      <c r="K1571" s="129" t="s">
        <v>1902</v>
      </c>
      <c r="L1571" s="182" t="s">
        <v>155</v>
      </c>
      <c r="M1571" s="436"/>
      <c r="N1571" s="436"/>
      <c r="O1571" s="450"/>
      <c r="P1571" s="450"/>
      <c r="Q1571" s="450"/>
    </row>
    <row r="1572" spans="1:17" ht="15.6">
      <c r="A1572" s="505">
        <v>45887</v>
      </c>
      <c r="B1572" s="182" t="s">
        <v>2782</v>
      </c>
      <c r="C1572" s="517" t="s">
        <v>152</v>
      </c>
      <c r="D1572" s="182" t="s">
        <v>120</v>
      </c>
      <c r="E1572" s="496">
        <v>10000</v>
      </c>
      <c r="F1572" s="325">
        <f t="shared" si="15"/>
        <v>17.827155035636483</v>
      </c>
      <c r="G1572" s="326">
        <v>560.94200000000001</v>
      </c>
      <c r="H1572" s="182" t="s">
        <v>213</v>
      </c>
      <c r="I1572" s="182" t="s">
        <v>2861</v>
      </c>
      <c r="J1572" s="182" t="s">
        <v>98</v>
      </c>
      <c r="K1572" s="129" t="s">
        <v>1902</v>
      </c>
      <c r="L1572" s="182" t="s">
        <v>155</v>
      </c>
      <c r="M1572" s="436"/>
      <c r="N1572" s="436"/>
      <c r="O1572" s="450"/>
      <c r="P1572" s="450"/>
      <c r="Q1572" s="450"/>
    </row>
    <row r="1573" spans="1:17" ht="15.6">
      <c r="A1573" s="505">
        <v>45887</v>
      </c>
      <c r="B1573" s="182" t="s">
        <v>2869</v>
      </c>
      <c r="C1573" s="182" t="s">
        <v>152</v>
      </c>
      <c r="D1573" s="182" t="s">
        <v>117</v>
      </c>
      <c r="E1573" s="182">
        <v>10000</v>
      </c>
      <c r="F1573" s="325">
        <f t="shared" si="15"/>
        <v>17.827155035636483</v>
      </c>
      <c r="G1573" s="326">
        <v>560.94200000000001</v>
      </c>
      <c r="H1573" s="182" t="s">
        <v>187</v>
      </c>
      <c r="I1573" s="182" t="s">
        <v>2881</v>
      </c>
      <c r="J1573" s="182" t="s">
        <v>98</v>
      </c>
      <c r="K1573" s="129" t="s">
        <v>1902</v>
      </c>
      <c r="L1573" s="182" t="s">
        <v>155</v>
      </c>
      <c r="M1573" s="436"/>
      <c r="N1573" s="436"/>
      <c r="O1573" s="450"/>
      <c r="P1573" s="450"/>
      <c r="Q1573" s="450"/>
    </row>
    <row r="1574" spans="1:17" ht="15.6">
      <c r="A1574" s="535">
        <v>45888</v>
      </c>
      <c r="B1574" s="517" t="s">
        <v>2099</v>
      </c>
      <c r="C1574" s="308" t="s">
        <v>174</v>
      </c>
      <c r="D1574" s="308" t="s">
        <v>119</v>
      </c>
      <c r="E1574" s="517">
        <v>1000</v>
      </c>
      <c r="F1574" s="325">
        <f t="shared" si="15"/>
        <v>1.7827155035636482</v>
      </c>
      <c r="G1574" s="326">
        <v>560.94200000000001</v>
      </c>
      <c r="H1574" s="524" t="s">
        <v>153</v>
      </c>
      <c r="I1574" s="525" t="s">
        <v>2494</v>
      </c>
      <c r="J1574" s="182" t="s">
        <v>98</v>
      </c>
      <c r="K1574" s="129" t="s">
        <v>1902</v>
      </c>
      <c r="L1574" s="182" t="s">
        <v>155</v>
      </c>
      <c r="M1574" s="512"/>
      <c r="N1574" s="512"/>
      <c r="O1574" s="450"/>
      <c r="P1574" s="450"/>
      <c r="Q1574" s="450"/>
    </row>
    <row r="1575" spans="1:17" ht="15.6">
      <c r="A1575" s="535">
        <v>45888</v>
      </c>
      <c r="B1575" s="517" t="s">
        <v>2108</v>
      </c>
      <c r="C1575" s="308" t="s">
        <v>174</v>
      </c>
      <c r="D1575" s="308" t="s">
        <v>119</v>
      </c>
      <c r="E1575" s="517">
        <v>1000</v>
      </c>
      <c r="F1575" s="325">
        <f t="shared" si="15"/>
        <v>1.7827155035636482</v>
      </c>
      <c r="G1575" s="326">
        <v>560.94200000000001</v>
      </c>
      <c r="H1575" s="524" t="s">
        <v>153</v>
      </c>
      <c r="I1575" s="525" t="s">
        <v>2494</v>
      </c>
      <c r="J1575" s="182" t="s">
        <v>98</v>
      </c>
      <c r="K1575" s="129" t="s">
        <v>1902</v>
      </c>
      <c r="L1575" s="182" t="s">
        <v>155</v>
      </c>
      <c r="M1575" s="512"/>
      <c r="N1575" s="512"/>
      <c r="O1575" s="450"/>
      <c r="P1575" s="450"/>
      <c r="Q1575" s="450"/>
    </row>
    <row r="1576" spans="1:17" ht="15.6">
      <c r="A1576" s="535">
        <v>45888</v>
      </c>
      <c r="B1576" s="517" t="s">
        <v>2109</v>
      </c>
      <c r="C1576" s="308" t="s">
        <v>174</v>
      </c>
      <c r="D1576" s="308" t="s">
        <v>119</v>
      </c>
      <c r="E1576" s="517">
        <v>1000</v>
      </c>
      <c r="F1576" s="325">
        <f t="shared" si="15"/>
        <v>1.7827155035636482</v>
      </c>
      <c r="G1576" s="326">
        <v>560.94200000000001</v>
      </c>
      <c r="H1576" s="524" t="s">
        <v>153</v>
      </c>
      <c r="I1576" s="525" t="s">
        <v>2494</v>
      </c>
      <c r="J1576" s="182" t="s">
        <v>98</v>
      </c>
      <c r="K1576" s="129" t="s">
        <v>1902</v>
      </c>
      <c r="L1576" s="182" t="s">
        <v>155</v>
      </c>
      <c r="M1576" s="512"/>
      <c r="N1576" s="512"/>
      <c r="O1576" s="450"/>
      <c r="P1576" s="450"/>
      <c r="Q1576" s="450"/>
    </row>
    <row r="1577" spans="1:17" ht="15.6">
      <c r="A1577" s="535">
        <v>45888</v>
      </c>
      <c r="B1577" s="517" t="s">
        <v>2100</v>
      </c>
      <c r="C1577" s="308" t="s">
        <v>174</v>
      </c>
      <c r="D1577" s="308" t="s">
        <v>119</v>
      </c>
      <c r="E1577" s="517">
        <v>1000</v>
      </c>
      <c r="F1577" s="325">
        <f t="shared" si="15"/>
        <v>1.7827155035636482</v>
      </c>
      <c r="G1577" s="326">
        <v>560.94200000000001</v>
      </c>
      <c r="H1577" s="524" t="s">
        <v>153</v>
      </c>
      <c r="I1577" s="525" t="s">
        <v>2494</v>
      </c>
      <c r="J1577" s="182" t="s">
        <v>98</v>
      </c>
      <c r="K1577" s="129" t="s">
        <v>1902</v>
      </c>
      <c r="L1577" s="182" t="s">
        <v>155</v>
      </c>
      <c r="M1577" s="512"/>
      <c r="N1577" s="512"/>
      <c r="O1577" s="450"/>
      <c r="P1577" s="450"/>
      <c r="Q1577" s="450"/>
    </row>
    <row r="1578" spans="1:17" ht="15.6">
      <c r="A1578" s="504">
        <v>45888</v>
      </c>
      <c r="B1578" s="182" t="s">
        <v>2518</v>
      </c>
      <c r="C1578" s="182" t="s">
        <v>174</v>
      </c>
      <c r="D1578" s="182" t="s">
        <v>118</v>
      </c>
      <c r="E1578" s="435">
        <v>1000</v>
      </c>
      <c r="F1578" s="325">
        <f t="shared" si="15"/>
        <v>1.7827155035636482</v>
      </c>
      <c r="G1578" s="326">
        <v>560.94200000000001</v>
      </c>
      <c r="H1578" s="182" t="s">
        <v>583</v>
      </c>
      <c r="I1578" s="182" t="s">
        <v>2536</v>
      </c>
      <c r="J1578" s="182" t="s">
        <v>98</v>
      </c>
      <c r="K1578" s="129" t="s">
        <v>1902</v>
      </c>
      <c r="L1578" s="182" t="s">
        <v>155</v>
      </c>
      <c r="M1578" s="512"/>
      <c r="N1578" s="512"/>
      <c r="O1578" s="450"/>
      <c r="P1578" s="450"/>
      <c r="Q1578" s="450"/>
    </row>
    <row r="1579" spans="1:17" ht="15.6">
      <c r="A1579" s="504">
        <v>45888</v>
      </c>
      <c r="B1579" s="182" t="s">
        <v>2519</v>
      </c>
      <c r="C1579" s="182" t="s">
        <v>174</v>
      </c>
      <c r="D1579" s="182" t="s">
        <v>118</v>
      </c>
      <c r="E1579" s="435">
        <v>1000</v>
      </c>
      <c r="F1579" s="325">
        <f t="shared" si="15"/>
        <v>1.7827155035636482</v>
      </c>
      <c r="G1579" s="326">
        <v>560.94200000000001</v>
      </c>
      <c r="H1579" s="182" t="s">
        <v>583</v>
      </c>
      <c r="I1579" s="182" t="s">
        <v>2536</v>
      </c>
      <c r="J1579" s="182" t="s">
        <v>98</v>
      </c>
      <c r="K1579" s="129" t="s">
        <v>1902</v>
      </c>
      <c r="L1579" s="182" t="s">
        <v>155</v>
      </c>
      <c r="M1579" s="512"/>
      <c r="N1579" s="512"/>
      <c r="O1579" s="450"/>
      <c r="P1579" s="450"/>
      <c r="Q1579" s="450"/>
    </row>
    <row r="1580" spans="1:17" ht="15.6">
      <c r="A1580" s="504">
        <v>45888</v>
      </c>
      <c r="B1580" s="182" t="s">
        <v>2520</v>
      </c>
      <c r="C1580" s="182" t="s">
        <v>174</v>
      </c>
      <c r="D1580" s="182" t="s">
        <v>118</v>
      </c>
      <c r="E1580" s="435">
        <v>1000</v>
      </c>
      <c r="F1580" s="325">
        <f t="shared" si="15"/>
        <v>1.7827155035636482</v>
      </c>
      <c r="G1580" s="326">
        <v>560.94200000000001</v>
      </c>
      <c r="H1580" s="182" t="s">
        <v>583</v>
      </c>
      <c r="I1580" s="182" t="s">
        <v>2536</v>
      </c>
      <c r="J1580" s="182" t="s">
        <v>98</v>
      </c>
      <c r="K1580" s="129" t="s">
        <v>1902</v>
      </c>
      <c r="L1580" s="182" t="s">
        <v>155</v>
      </c>
      <c r="M1580" s="512"/>
      <c r="N1580" s="512"/>
      <c r="O1580" s="450"/>
      <c r="P1580" s="450"/>
      <c r="Q1580" s="450"/>
    </row>
    <row r="1581" spans="1:17" ht="15.6">
      <c r="A1581" s="504">
        <v>45888</v>
      </c>
      <c r="B1581" s="182" t="s">
        <v>2521</v>
      </c>
      <c r="C1581" s="182" t="s">
        <v>174</v>
      </c>
      <c r="D1581" s="182" t="s">
        <v>118</v>
      </c>
      <c r="E1581" s="435">
        <v>1000</v>
      </c>
      <c r="F1581" s="325">
        <f t="shared" si="15"/>
        <v>1.7827155035636482</v>
      </c>
      <c r="G1581" s="326">
        <v>560.94200000000001</v>
      </c>
      <c r="H1581" s="182" t="s">
        <v>583</v>
      </c>
      <c r="I1581" s="182" t="s">
        <v>2536</v>
      </c>
      <c r="J1581" s="182" t="s">
        <v>98</v>
      </c>
      <c r="K1581" s="129" t="s">
        <v>1902</v>
      </c>
      <c r="L1581" s="182" t="s">
        <v>155</v>
      </c>
      <c r="M1581" s="512"/>
      <c r="N1581" s="512"/>
      <c r="O1581" s="450"/>
      <c r="P1581" s="450"/>
      <c r="Q1581" s="450"/>
    </row>
    <row r="1582" spans="1:17" ht="15.6">
      <c r="A1582" s="504">
        <v>45888</v>
      </c>
      <c r="B1582" s="182" t="s">
        <v>2522</v>
      </c>
      <c r="C1582" s="182" t="s">
        <v>174</v>
      </c>
      <c r="D1582" s="182" t="s">
        <v>118</v>
      </c>
      <c r="E1582" s="435">
        <v>1000</v>
      </c>
      <c r="F1582" s="325">
        <f t="shared" si="15"/>
        <v>1.7827155035636482</v>
      </c>
      <c r="G1582" s="326">
        <v>560.94200000000001</v>
      </c>
      <c r="H1582" s="182" t="s">
        <v>583</v>
      </c>
      <c r="I1582" s="182" t="s">
        <v>2536</v>
      </c>
      <c r="J1582" s="182" t="s">
        <v>98</v>
      </c>
      <c r="K1582" s="129" t="s">
        <v>1902</v>
      </c>
      <c r="L1582" s="182" t="s">
        <v>155</v>
      </c>
      <c r="M1582" s="512"/>
      <c r="N1582" s="512"/>
      <c r="O1582" s="450"/>
      <c r="P1582" s="450"/>
      <c r="Q1582" s="450"/>
    </row>
    <row r="1583" spans="1:17" ht="15.6">
      <c r="A1583" s="506">
        <v>45888</v>
      </c>
      <c r="B1583" s="182" t="s">
        <v>2382</v>
      </c>
      <c r="C1583" s="182" t="s">
        <v>127</v>
      </c>
      <c r="D1583" s="182" t="s">
        <v>117</v>
      </c>
      <c r="E1583" s="435">
        <v>10500</v>
      </c>
      <c r="F1583" s="325">
        <f t="shared" si="15"/>
        <v>18.718512787418305</v>
      </c>
      <c r="G1583" s="326">
        <v>560.94200000000001</v>
      </c>
      <c r="H1583" s="182" t="s">
        <v>583</v>
      </c>
      <c r="I1583" s="182" t="s">
        <v>2383</v>
      </c>
      <c r="J1583" s="182" t="s">
        <v>98</v>
      </c>
      <c r="K1583" s="129" t="s">
        <v>1902</v>
      </c>
      <c r="L1583" s="182" t="s">
        <v>155</v>
      </c>
      <c r="M1583" s="512"/>
      <c r="N1583" s="512"/>
      <c r="O1583" s="450"/>
      <c r="P1583" s="450"/>
      <c r="Q1583" s="450"/>
    </row>
    <row r="1584" spans="1:17" ht="15.6">
      <c r="A1584" s="506">
        <v>45888</v>
      </c>
      <c r="B1584" s="182" t="s">
        <v>2944</v>
      </c>
      <c r="C1584" s="182" t="s">
        <v>172</v>
      </c>
      <c r="D1584" s="182" t="s">
        <v>118</v>
      </c>
      <c r="E1584" s="435">
        <v>11000</v>
      </c>
      <c r="F1584" s="325">
        <f t="shared" si="15"/>
        <v>19.609870539200131</v>
      </c>
      <c r="G1584" s="326">
        <v>560.94200000000001</v>
      </c>
      <c r="H1584" s="520" t="s">
        <v>583</v>
      </c>
      <c r="I1584" s="182" t="s">
        <v>2385</v>
      </c>
      <c r="J1584" s="182" t="s">
        <v>98</v>
      </c>
      <c r="K1584" s="129" t="s">
        <v>1902</v>
      </c>
      <c r="L1584" s="182" t="s">
        <v>155</v>
      </c>
      <c r="M1584" s="512"/>
      <c r="N1584" s="512"/>
      <c r="O1584" s="450"/>
      <c r="P1584" s="450"/>
      <c r="Q1584" s="450"/>
    </row>
    <row r="1585" spans="1:17" ht="15.6">
      <c r="A1585" s="506">
        <v>45888</v>
      </c>
      <c r="B1585" s="182" t="s">
        <v>2945</v>
      </c>
      <c r="C1585" s="182" t="s">
        <v>172</v>
      </c>
      <c r="D1585" s="182" t="s">
        <v>118</v>
      </c>
      <c r="E1585" s="435">
        <v>5000</v>
      </c>
      <c r="F1585" s="325">
        <f t="shared" si="15"/>
        <v>8.9135775178182417</v>
      </c>
      <c r="G1585" s="326">
        <v>560.94200000000001</v>
      </c>
      <c r="H1585" s="520" t="s">
        <v>583</v>
      </c>
      <c r="I1585" s="182" t="s">
        <v>2385</v>
      </c>
      <c r="J1585" s="182" t="s">
        <v>98</v>
      </c>
      <c r="K1585" s="129" t="s">
        <v>1902</v>
      </c>
      <c r="L1585" s="182" t="s">
        <v>155</v>
      </c>
      <c r="M1585" s="512"/>
      <c r="N1585" s="512"/>
      <c r="O1585" s="450"/>
      <c r="P1585" s="450"/>
      <c r="Q1585" s="450"/>
    </row>
    <row r="1586" spans="1:17" ht="15.6">
      <c r="A1586" s="506">
        <v>45888</v>
      </c>
      <c r="B1586" s="182" t="s">
        <v>2954</v>
      </c>
      <c r="C1586" s="182" t="s">
        <v>172</v>
      </c>
      <c r="D1586" s="182" t="s">
        <v>118</v>
      </c>
      <c r="E1586" s="435">
        <v>11700</v>
      </c>
      <c r="F1586" s="325">
        <f t="shared" si="15"/>
        <v>20.857771391694683</v>
      </c>
      <c r="G1586" s="326">
        <v>560.94200000000001</v>
      </c>
      <c r="H1586" s="520" t="s">
        <v>583</v>
      </c>
      <c r="I1586" s="182" t="s">
        <v>2385</v>
      </c>
      <c r="J1586" s="182" t="s">
        <v>98</v>
      </c>
      <c r="K1586" s="129" t="s">
        <v>1902</v>
      </c>
      <c r="L1586" s="182" t="s">
        <v>155</v>
      </c>
      <c r="M1586" s="512"/>
      <c r="N1586" s="512"/>
      <c r="O1586" s="450"/>
      <c r="P1586" s="450"/>
      <c r="Q1586" s="450"/>
    </row>
    <row r="1587" spans="1:17" ht="15.6">
      <c r="A1587" s="506">
        <v>45888</v>
      </c>
      <c r="B1587" s="182" t="s">
        <v>2946</v>
      </c>
      <c r="C1587" s="182" t="s">
        <v>172</v>
      </c>
      <c r="D1587" s="182" t="s">
        <v>118</v>
      </c>
      <c r="E1587" s="435">
        <v>2500</v>
      </c>
      <c r="F1587" s="325">
        <f t="shared" si="15"/>
        <v>4.4567887589091209</v>
      </c>
      <c r="G1587" s="326">
        <v>560.94200000000001</v>
      </c>
      <c r="H1587" s="520" t="s">
        <v>583</v>
      </c>
      <c r="I1587" s="182" t="s">
        <v>2385</v>
      </c>
      <c r="J1587" s="182" t="s">
        <v>98</v>
      </c>
      <c r="K1587" s="129" t="s">
        <v>1902</v>
      </c>
      <c r="L1587" s="182" t="s">
        <v>155</v>
      </c>
      <c r="M1587" s="512"/>
      <c r="N1587" s="512"/>
      <c r="O1587" s="450"/>
      <c r="P1587" s="450"/>
      <c r="Q1587" s="450"/>
    </row>
    <row r="1588" spans="1:17" ht="15.6">
      <c r="A1588" s="506">
        <v>45888</v>
      </c>
      <c r="B1588" s="182" t="s">
        <v>2947</v>
      </c>
      <c r="C1588" s="182" t="s">
        <v>172</v>
      </c>
      <c r="D1588" s="182" t="s">
        <v>118</v>
      </c>
      <c r="E1588" s="435">
        <v>3500</v>
      </c>
      <c r="F1588" s="325">
        <f t="shared" si="15"/>
        <v>6.239504262472769</v>
      </c>
      <c r="G1588" s="326">
        <v>560.94200000000001</v>
      </c>
      <c r="H1588" s="520" t="s">
        <v>583</v>
      </c>
      <c r="I1588" s="182" t="s">
        <v>2385</v>
      </c>
      <c r="J1588" s="182" t="s">
        <v>98</v>
      </c>
      <c r="K1588" s="129" t="s">
        <v>1902</v>
      </c>
      <c r="L1588" s="182" t="s">
        <v>155</v>
      </c>
      <c r="M1588" s="512"/>
      <c r="N1588" s="512"/>
      <c r="O1588" s="450"/>
      <c r="P1588" s="450"/>
      <c r="Q1588" s="450"/>
    </row>
    <row r="1589" spans="1:17" ht="15.6">
      <c r="A1589" s="506">
        <v>45888</v>
      </c>
      <c r="B1589" s="182" t="s">
        <v>2948</v>
      </c>
      <c r="C1589" s="182" t="s">
        <v>172</v>
      </c>
      <c r="D1589" s="182" t="s">
        <v>118</v>
      </c>
      <c r="E1589" s="435">
        <v>2750</v>
      </c>
      <c r="F1589" s="325">
        <f t="shared" si="15"/>
        <v>4.9024676348000327</v>
      </c>
      <c r="G1589" s="326">
        <v>560.94200000000001</v>
      </c>
      <c r="H1589" s="520" t="s">
        <v>583</v>
      </c>
      <c r="I1589" s="182" t="s">
        <v>2385</v>
      </c>
      <c r="J1589" s="182" t="s">
        <v>98</v>
      </c>
      <c r="K1589" s="129" t="s">
        <v>1902</v>
      </c>
      <c r="L1589" s="182" t="s">
        <v>155</v>
      </c>
      <c r="M1589" s="512"/>
      <c r="N1589" s="512"/>
      <c r="O1589" s="450"/>
      <c r="P1589" s="450"/>
      <c r="Q1589" s="450"/>
    </row>
    <row r="1590" spans="1:17" ht="15.6">
      <c r="A1590" s="506">
        <v>45888</v>
      </c>
      <c r="B1590" s="182" t="s">
        <v>2949</v>
      </c>
      <c r="C1590" s="182" t="s">
        <v>172</v>
      </c>
      <c r="D1590" s="182" t="s">
        <v>118</v>
      </c>
      <c r="E1590" s="435">
        <v>3500</v>
      </c>
      <c r="F1590" s="325">
        <f t="shared" si="15"/>
        <v>6.239504262472769</v>
      </c>
      <c r="G1590" s="326">
        <v>560.94200000000001</v>
      </c>
      <c r="H1590" s="520" t="s">
        <v>583</v>
      </c>
      <c r="I1590" s="182" t="s">
        <v>2385</v>
      </c>
      <c r="J1590" s="182" t="s">
        <v>98</v>
      </c>
      <c r="K1590" s="129" t="s">
        <v>1902</v>
      </c>
      <c r="L1590" s="182" t="s">
        <v>155</v>
      </c>
      <c r="M1590" s="512"/>
      <c r="N1590" s="512"/>
      <c r="O1590" s="450"/>
      <c r="P1590" s="450"/>
      <c r="Q1590" s="450"/>
    </row>
    <row r="1591" spans="1:17" ht="15.6">
      <c r="A1591" s="506">
        <v>45888</v>
      </c>
      <c r="B1591" s="182" t="s">
        <v>2950</v>
      </c>
      <c r="C1591" s="182" t="s">
        <v>172</v>
      </c>
      <c r="D1591" s="182" t="s">
        <v>118</v>
      </c>
      <c r="E1591" s="435">
        <v>1500</v>
      </c>
      <c r="F1591" s="325">
        <f t="shared" si="15"/>
        <v>2.6740732553454722</v>
      </c>
      <c r="G1591" s="326">
        <v>560.94200000000001</v>
      </c>
      <c r="H1591" s="520" t="s">
        <v>583</v>
      </c>
      <c r="I1591" s="182" t="s">
        <v>2385</v>
      </c>
      <c r="J1591" s="182" t="s">
        <v>98</v>
      </c>
      <c r="K1591" s="129" t="s">
        <v>1902</v>
      </c>
      <c r="L1591" s="182" t="s">
        <v>155</v>
      </c>
      <c r="M1591" s="512"/>
      <c r="N1591" s="512"/>
      <c r="O1591" s="450"/>
      <c r="P1591" s="450"/>
      <c r="Q1591" s="450"/>
    </row>
    <row r="1592" spans="1:17" ht="15.6">
      <c r="A1592" s="506">
        <v>45888</v>
      </c>
      <c r="B1592" s="182" t="s">
        <v>2951</v>
      </c>
      <c r="C1592" s="182" t="s">
        <v>172</v>
      </c>
      <c r="D1592" s="182" t="s">
        <v>118</v>
      </c>
      <c r="E1592" s="435">
        <v>1900</v>
      </c>
      <c r="F1592" s="325">
        <f t="shared" si="15"/>
        <v>3.3871594567709318</v>
      </c>
      <c r="G1592" s="326">
        <v>560.94200000000001</v>
      </c>
      <c r="H1592" s="520" t="s">
        <v>583</v>
      </c>
      <c r="I1592" s="182" t="s">
        <v>2385</v>
      </c>
      <c r="J1592" s="182" t="s">
        <v>98</v>
      </c>
      <c r="K1592" s="129" t="s">
        <v>1902</v>
      </c>
      <c r="L1592" s="182" t="s">
        <v>155</v>
      </c>
      <c r="M1592" s="512"/>
      <c r="N1592" s="512"/>
      <c r="O1592" s="450"/>
      <c r="P1592" s="450"/>
      <c r="Q1592" s="450"/>
    </row>
    <row r="1593" spans="1:17" ht="15.6">
      <c r="A1593" s="506">
        <v>45888</v>
      </c>
      <c r="B1593" s="182" t="s">
        <v>2952</v>
      </c>
      <c r="C1593" s="182" t="s">
        <v>172</v>
      </c>
      <c r="D1593" s="182" t="s">
        <v>118</v>
      </c>
      <c r="E1593" s="435">
        <v>3700</v>
      </c>
      <c r="F1593" s="325">
        <f t="shared" si="15"/>
        <v>6.596047363185499</v>
      </c>
      <c r="G1593" s="326">
        <v>560.94200000000001</v>
      </c>
      <c r="H1593" s="520" t="s">
        <v>583</v>
      </c>
      <c r="I1593" s="182" t="s">
        <v>2385</v>
      </c>
      <c r="J1593" s="182" t="s">
        <v>98</v>
      </c>
      <c r="K1593" s="129" t="s">
        <v>1902</v>
      </c>
      <c r="L1593" s="182" t="s">
        <v>155</v>
      </c>
      <c r="M1593" s="512"/>
      <c r="N1593" s="512"/>
      <c r="O1593" s="450"/>
      <c r="P1593" s="450"/>
      <c r="Q1593" s="450"/>
    </row>
    <row r="1594" spans="1:17" ht="15.6">
      <c r="A1594" s="506">
        <v>45888</v>
      </c>
      <c r="B1594" s="182" t="s">
        <v>2953</v>
      </c>
      <c r="C1594" s="182" t="s">
        <v>172</v>
      </c>
      <c r="D1594" s="182" t="s">
        <v>118</v>
      </c>
      <c r="E1594" s="435">
        <v>3500</v>
      </c>
      <c r="F1594" s="325">
        <f t="shared" si="15"/>
        <v>6.239504262472769</v>
      </c>
      <c r="G1594" s="326">
        <v>560.94200000000001</v>
      </c>
      <c r="H1594" s="520" t="s">
        <v>583</v>
      </c>
      <c r="I1594" s="182" t="s">
        <v>2385</v>
      </c>
      <c r="J1594" s="182" t="s">
        <v>98</v>
      </c>
      <c r="K1594" s="129" t="s">
        <v>1902</v>
      </c>
      <c r="L1594" s="182" t="s">
        <v>155</v>
      </c>
      <c r="M1594" s="512"/>
      <c r="N1594" s="512"/>
      <c r="O1594" s="450"/>
      <c r="P1594" s="450"/>
      <c r="Q1594" s="450"/>
    </row>
    <row r="1595" spans="1:17" ht="15.6">
      <c r="A1595" s="506">
        <v>45888</v>
      </c>
      <c r="B1595" s="182" t="s">
        <v>2955</v>
      </c>
      <c r="C1595" s="182" t="s">
        <v>172</v>
      </c>
      <c r="D1595" s="182" t="s">
        <v>118</v>
      </c>
      <c r="E1595" s="435">
        <v>2000</v>
      </c>
      <c r="F1595" s="325">
        <f t="shared" si="15"/>
        <v>3.5654310071272963</v>
      </c>
      <c r="G1595" s="326">
        <v>560.94200000000001</v>
      </c>
      <c r="H1595" s="520" t="s">
        <v>583</v>
      </c>
      <c r="I1595" s="182" t="s">
        <v>2385</v>
      </c>
      <c r="J1595" s="182" t="s">
        <v>98</v>
      </c>
      <c r="K1595" s="129" t="s">
        <v>1902</v>
      </c>
      <c r="L1595" s="182" t="s">
        <v>155</v>
      </c>
      <c r="M1595" s="512"/>
      <c r="N1595" s="512"/>
      <c r="O1595" s="450"/>
      <c r="P1595" s="450"/>
      <c r="Q1595" s="450"/>
    </row>
    <row r="1596" spans="1:17" ht="15.6">
      <c r="A1596" s="467">
        <v>45888</v>
      </c>
      <c r="B1596" s="177" t="s">
        <v>3041</v>
      </c>
      <c r="C1596" s="177" t="s">
        <v>174</v>
      </c>
      <c r="D1596" s="177" t="s">
        <v>121</v>
      </c>
      <c r="E1596" s="177">
        <v>1000</v>
      </c>
      <c r="F1596" s="325">
        <f t="shared" si="15"/>
        <v>1.7827155035636482</v>
      </c>
      <c r="G1596" s="326">
        <v>560.94200000000001</v>
      </c>
      <c r="H1596" s="177" t="s">
        <v>184</v>
      </c>
      <c r="I1596" s="177" t="s">
        <v>2558</v>
      </c>
      <c r="J1596" s="182" t="s">
        <v>98</v>
      </c>
      <c r="K1596" s="129" t="s">
        <v>1902</v>
      </c>
      <c r="L1596" s="182" t="s">
        <v>155</v>
      </c>
      <c r="M1596" s="436"/>
      <c r="N1596" s="436"/>
      <c r="O1596" s="450"/>
      <c r="P1596" s="450"/>
      <c r="Q1596" s="450"/>
    </row>
    <row r="1597" spans="1:17" ht="15.6">
      <c r="A1597" s="467">
        <v>45888</v>
      </c>
      <c r="B1597" s="177" t="s">
        <v>3041</v>
      </c>
      <c r="C1597" s="177" t="s">
        <v>174</v>
      </c>
      <c r="D1597" s="177" t="s">
        <v>121</v>
      </c>
      <c r="E1597" s="177">
        <v>1000</v>
      </c>
      <c r="F1597" s="325">
        <f t="shared" si="15"/>
        <v>1.7827155035636482</v>
      </c>
      <c r="G1597" s="326">
        <v>560.94200000000001</v>
      </c>
      <c r="H1597" s="177" t="s">
        <v>184</v>
      </c>
      <c r="I1597" s="177" t="s">
        <v>2558</v>
      </c>
      <c r="J1597" s="182" t="s">
        <v>98</v>
      </c>
      <c r="K1597" s="129" t="s">
        <v>1902</v>
      </c>
      <c r="L1597" s="182" t="s">
        <v>155</v>
      </c>
      <c r="M1597" s="436"/>
      <c r="N1597" s="436"/>
      <c r="O1597" s="450"/>
      <c r="P1597" s="450"/>
      <c r="Q1597" s="450"/>
    </row>
    <row r="1598" spans="1:17" ht="15.6">
      <c r="A1598" s="467">
        <v>45888</v>
      </c>
      <c r="B1598" s="177" t="s">
        <v>3147</v>
      </c>
      <c r="C1598" s="177" t="s">
        <v>174</v>
      </c>
      <c r="D1598" s="177" t="s">
        <v>121</v>
      </c>
      <c r="E1598" s="177">
        <v>500</v>
      </c>
      <c r="F1598" s="325">
        <f t="shared" si="15"/>
        <v>0.89135775178182408</v>
      </c>
      <c r="G1598" s="326">
        <v>560.94200000000001</v>
      </c>
      <c r="H1598" s="177" t="s">
        <v>184</v>
      </c>
      <c r="I1598" s="177" t="s">
        <v>2558</v>
      </c>
      <c r="J1598" s="182" t="s">
        <v>98</v>
      </c>
      <c r="K1598" s="129" t="s">
        <v>1902</v>
      </c>
      <c r="L1598" s="182" t="s">
        <v>155</v>
      </c>
      <c r="M1598" s="436"/>
      <c r="N1598" s="436"/>
      <c r="O1598" s="450"/>
      <c r="P1598" s="450"/>
      <c r="Q1598" s="450"/>
    </row>
    <row r="1599" spans="1:17" ht="15.6">
      <c r="A1599" s="467">
        <v>45888</v>
      </c>
      <c r="B1599" s="177" t="s">
        <v>3039</v>
      </c>
      <c r="C1599" s="177" t="s">
        <v>174</v>
      </c>
      <c r="D1599" s="177" t="s">
        <v>121</v>
      </c>
      <c r="E1599" s="177">
        <v>1000</v>
      </c>
      <c r="F1599" s="325">
        <f t="shared" si="15"/>
        <v>1.7827155035636482</v>
      </c>
      <c r="G1599" s="326">
        <v>560.94200000000001</v>
      </c>
      <c r="H1599" s="177" t="s">
        <v>184</v>
      </c>
      <c r="I1599" s="177" t="s">
        <v>2558</v>
      </c>
      <c r="J1599" s="182" t="s">
        <v>98</v>
      </c>
      <c r="K1599" s="129" t="s">
        <v>1902</v>
      </c>
      <c r="L1599" s="182" t="s">
        <v>155</v>
      </c>
      <c r="M1599" s="436"/>
      <c r="N1599" s="436"/>
      <c r="O1599" s="450"/>
      <c r="P1599" s="450"/>
      <c r="Q1599" s="450"/>
    </row>
    <row r="1600" spans="1:17" ht="15.6">
      <c r="A1600" s="467">
        <v>45888</v>
      </c>
      <c r="B1600" s="177" t="s">
        <v>3041</v>
      </c>
      <c r="C1600" s="177" t="s">
        <v>174</v>
      </c>
      <c r="D1600" s="177" t="s">
        <v>121</v>
      </c>
      <c r="E1600" s="177">
        <v>1000</v>
      </c>
      <c r="F1600" s="325">
        <f t="shared" si="15"/>
        <v>1.7827155035636482</v>
      </c>
      <c r="G1600" s="326">
        <v>560.94200000000001</v>
      </c>
      <c r="H1600" s="177" t="s">
        <v>184</v>
      </c>
      <c r="I1600" s="177" t="s">
        <v>2558</v>
      </c>
      <c r="J1600" s="182" t="s">
        <v>98</v>
      </c>
      <c r="K1600" s="129" t="s">
        <v>1902</v>
      </c>
      <c r="L1600" s="182" t="s">
        <v>155</v>
      </c>
      <c r="M1600" s="436"/>
      <c r="N1600" s="436"/>
      <c r="O1600" s="450"/>
      <c r="P1600" s="450"/>
      <c r="Q1600" s="450"/>
    </row>
    <row r="1601" spans="1:17" ht="15.6">
      <c r="A1601" s="467">
        <v>45888</v>
      </c>
      <c r="B1601" s="177" t="s">
        <v>3042</v>
      </c>
      <c r="C1601" s="177" t="s">
        <v>174</v>
      </c>
      <c r="D1601" s="177" t="s">
        <v>121</v>
      </c>
      <c r="E1601" s="177">
        <v>500</v>
      </c>
      <c r="F1601" s="325">
        <f t="shared" si="15"/>
        <v>0.89135775178182408</v>
      </c>
      <c r="G1601" s="326">
        <v>560.94200000000001</v>
      </c>
      <c r="H1601" s="177" t="s">
        <v>184</v>
      </c>
      <c r="I1601" s="177" t="s">
        <v>2558</v>
      </c>
      <c r="J1601" s="182" t="s">
        <v>98</v>
      </c>
      <c r="K1601" s="129" t="s">
        <v>1902</v>
      </c>
      <c r="L1601" s="182" t="s">
        <v>155</v>
      </c>
      <c r="M1601" s="436"/>
      <c r="N1601" s="436"/>
      <c r="O1601" s="450"/>
      <c r="P1601" s="450"/>
      <c r="Q1601" s="450"/>
    </row>
    <row r="1602" spans="1:17" ht="15.6">
      <c r="A1602" s="505">
        <v>45888</v>
      </c>
      <c r="B1602" s="182" t="s">
        <v>3037</v>
      </c>
      <c r="C1602" s="182" t="s">
        <v>174</v>
      </c>
      <c r="D1602" s="177" t="s">
        <v>121</v>
      </c>
      <c r="E1602" s="182">
        <v>500</v>
      </c>
      <c r="F1602" s="325">
        <f t="shared" si="15"/>
        <v>0.89135775178182408</v>
      </c>
      <c r="G1602" s="326">
        <v>560.94200000000001</v>
      </c>
      <c r="H1602" s="182" t="s">
        <v>175</v>
      </c>
      <c r="I1602" s="182" t="s">
        <v>2588</v>
      </c>
      <c r="J1602" s="182" t="s">
        <v>98</v>
      </c>
      <c r="K1602" s="129" t="s">
        <v>1902</v>
      </c>
      <c r="L1602" s="182" t="s">
        <v>155</v>
      </c>
      <c r="M1602" s="436"/>
      <c r="N1602" s="436"/>
      <c r="O1602" s="450"/>
      <c r="P1602" s="450"/>
      <c r="Q1602" s="450"/>
    </row>
    <row r="1603" spans="1:17" ht="15.6">
      <c r="A1603" s="505">
        <v>45888</v>
      </c>
      <c r="B1603" s="182" t="s">
        <v>2990</v>
      </c>
      <c r="C1603" s="182" t="s">
        <v>174</v>
      </c>
      <c r="D1603" s="177" t="s">
        <v>121</v>
      </c>
      <c r="E1603" s="182">
        <v>10000</v>
      </c>
      <c r="F1603" s="325">
        <f t="shared" si="15"/>
        <v>17.827155035636483</v>
      </c>
      <c r="G1603" s="326">
        <v>560.94200000000001</v>
      </c>
      <c r="H1603" s="182" t="s">
        <v>175</v>
      </c>
      <c r="I1603" s="182" t="s">
        <v>2599</v>
      </c>
      <c r="J1603" s="182" t="s">
        <v>98</v>
      </c>
      <c r="K1603" s="129" t="s">
        <v>1902</v>
      </c>
      <c r="L1603" s="182" t="s">
        <v>155</v>
      </c>
      <c r="M1603" s="436"/>
      <c r="N1603" s="436"/>
      <c r="O1603" s="450"/>
      <c r="P1603" s="450"/>
      <c r="Q1603" s="450"/>
    </row>
    <row r="1604" spans="1:17" ht="15.6">
      <c r="A1604" s="505">
        <v>45888</v>
      </c>
      <c r="B1604" s="182" t="s">
        <v>3083</v>
      </c>
      <c r="C1604" s="182" t="s">
        <v>174</v>
      </c>
      <c r="D1604" s="177" t="s">
        <v>121</v>
      </c>
      <c r="E1604" s="182">
        <v>500</v>
      </c>
      <c r="F1604" s="325">
        <f t="shared" si="15"/>
        <v>0.89135775178182408</v>
      </c>
      <c r="G1604" s="326">
        <v>560.94200000000001</v>
      </c>
      <c r="H1604" s="182" t="s">
        <v>175</v>
      </c>
      <c r="I1604" s="182" t="s">
        <v>2588</v>
      </c>
      <c r="J1604" s="182" t="s">
        <v>98</v>
      </c>
      <c r="K1604" s="129" t="s">
        <v>1902</v>
      </c>
      <c r="L1604" s="182" t="s">
        <v>155</v>
      </c>
      <c r="M1604" s="436"/>
      <c r="N1604" s="436"/>
      <c r="O1604" s="450"/>
      <c r="P1604" s="450"/>
      <c r="Q1604" s="450"/>
    </row>
    <row r="1605" spans="1:17" ht="15.6">
      <c r="A1605" s="505">
        <v>45888</v>
      </c>
      <c r="B1605" s="182" t="s">
        <v>3005</v>
      </c>
      <c r="C1605" s="182" t="s">
        <v>174</v>
      </c>
      <c r="D1605" s="177" t="s">
        <v>121</v>
      </c>
      <c r="E1605" s="182">
        <v>500</v>
      </c>
      <c r="F1605" s="325">
        <f t="shared" si="15"/>
        <v>0.89135775178182408</v>
      </c>
      <c r="G1605" s="326">
        <v>560.94200000000001</v>
      </c>
      <c r="H1605" s="182" t="s">
        <v>175</v>
      </c>
      <c r="I1605" s="182" t="s">
        <v>2588</v>
      </c>
      <c r="J1605" s="182" t="s">
        <v>98</v>
      </c>
      <c r="K1605" s="129" t="s">
        <v>1902</v>
      </c>
      <c r="L1605" s="182" t="s">
        <v>155</v>
      </c>
      <c r="M1605" s="436"/>
      <c r="N1605" s="436"/>
      <c r="O1605" s="450"/>
      <c r="P1605" s="450"/>
      <c r="Q1605" s="450"/>
    </row>
    <row r="1606" spans="1:17" ht="15.6">
      <c r="A1606" s="505">
        <v>45888</v>
      </c>
      <c r="B1606" s="182" t="s">
        <v>3083</v>
      </c>
      <c r="C1606" s="182" t="s">
        <v>174</v>
      </c>
      <c r="D1606" s="177" t="s">
        <v>121</v>
      </c>
      <c r="E1606" s="182">
        <v>500</v>
      </c>
      <c r="F1606" s="325">
        <f t="shared" si="15"/>
        <v>0.89135775178182408</v>
      </c>
      <c r="G1606" s="326">
        <v>560.94200000000001</v>
      </c>
      <c r="H1606" s="182" t="s">
        <v>175</v>
      </c>
      <c r="I1606" s="182" t="s">
        <v>2588</v>
      </c>
      <c r="J1606" s="182" t="s">
        <v>98</v>
      </c>
      <c r="K1606" s="129" t="s">
        <v>1902</v>
      </c>
      <c r="L1606" s="182" t="s">
        <v>155</v>
      </c>
      <c r="M1606" s="436"/>
      <c r="N1606" s="436"/>
      <c r="O1606" s="450"/>
      <c r="P1606" s="450"/>
      <c r="Q1606" s="450"/>
    </row>
    <row r="1607" spans="1:17" ht="15.6">
      <c r="A1607" s="505">
        <v>45888</v>
      </c>
      <c r="B1607" s="182" t="s">
        <v>2990</v>
      </c>
      <c r="C1607" s="182" t="s">
        <v>174</v>
      </c>
      <c r="D1607" s="177" t="s">
        <v>121</v>
      </c>
      <c r="E1607" s="182">
        <v>10000</v>
      </c>
      <c r="F1607" s="325">
        <f t="shared" si="15"/>
        <v>17.827155035636483</v>
      </c>
      <c r="G1607" s="326">
        <v>560.94200000000001</v>
      </c>
      <c r="H1607" s="182" t="s">
        <v>175</v>
      </c>
      <c r="I1607" s="182" t="s">
        <v>2600</v>
      </c>
      <c r="J1607" s="182" t="s">
        <v>98</v>
      </c>
      <c r="K1607" s="129" t="s">
        <v>1902</v>
      </c>
      <c r="L1607" s="182" t="s">
        <v>155</v>
      </c>
      <c r="M1607" s="436"/>
      <c r="N1607" s="436"/>
      <c r="O1607" s="450"/>
      <c r="P1607" s="450"/>
      <c r="Q1607" s="450"/>
    </row>
    <row r="1608" spans="1:17" ht="15.6">
      <c r="A1608" s="505">
        <v>45888</v>
      </c>
      <c r="B1608" s="182" t="s">
        <v>3083</v>
      </c>
      <c r="C1608" s="182" t="s">
        <v>174</v>
      </c>
      <c r="D1608" s="177" t="s">
        <v>121</v>
      </c>
      <c r="E1608" s="182">
        <v>500</v>
      </c>
      <c r="F1608" s="325">
        <f t="shared" si="15"/>
        <v>0.89135775178182408</v>
      </c>
      <c r="G1608" s="326">
        <v>560.94200000000001</v>
      </c>
      <c r="H1608" s="182" t="s">
        <v>175</v>
      </c>
      <c r="I1608" s="182" t="s">
        <v>2588</v>
      </c>
      <c r="J1608" s="182" t="s">
        <v>98</v>
      </c>
      <c r="K1608" s="129" t="s">
        <v>1902</v>
      </c>
      <c r="L1608" s="182" t="s">
        <v>155</v>
      </c>
      <c r="M1608" s="436"/>
      <c r="N1608" s="436"/>
      <c r="O1608" s="450"/>
      <c r="P1608" s="450"/>
      <c r="Q1608" s="450"/>
    </row>
    <row r="1609" spans="1:17" ht="15.6">
      <c r="A1609" s="505">
        <v>45888</v>
      </c>
      <c r="B1609" s="182" t="s">
        <v>3065</v>
      </c>
      <c r="C1609" s="182" t="s">
        <v>177</v>
      </c>
      <c r="D1609" s="182" t="s">
        <v>121</v>
      </c>
      <c r="E1609" s="182">
        <v>50000</v>
      </c>
      <c r="F1609" s="325">
        <f t="shared" si="15"/>
        <v>89.135775178182413</v>
      </c>
      <c r="G1609" s="326">
        <v>560.94200000000001</v>
      </c>
      <c r="H1609" s="182" t="s">
        <v>317</v>
      </c>
      <c r="I1609" s="182" t="s">
        <v>2637</v>
      </c>
      <c r="J1609" s="182" t="s">
        <v>98</v>
      </c>
      <c r="K1609" s="129" t="s">
        <v>1902</v>
      </c>
      <c r="L1609" s="182" t="s">
        <v>155</v>
      </c>
      <c r="M1609" s="436"/>
      <c r="N1609" s="436"/>
      <c r="O1609" s="450"/>
      <c r="P1609" s="450"/>
      <c r="Q1609" s="450"/>
    </row>
    <row r="1610" spans="1:17" ht="15.6">
      <c r="A1610" s="505">
        <v>45888</v>
      </c>
      <c r="B1610" s="182" t="s">
        <v>3148</v>
      </c>
      <c r="C1610" s="182" t="s">
        <v>174</v>
      </c>
      <c r="D1610" s="182" t="s">
        <v>121</v>
      </c>
      <c r="E1610" s="182">
        <v>2000</v>
      </c>
      <c r="F1610" s="325">
        <f t="shared" si="15"/>
        <v>3.5654310071272963</v>
      </c>
      <c r="G1610" s="326">
        <v>560.94200000000001</v>
      </c>
      <c r="H1610" s="182" t="s">
        <v>317</v>
      </c>
      <c r="I1610" s="182" t="s">
        <v>2632</v>
      </c>
      <c r="J1610" s="182" t="s">
        <v>98</v>
      </c>
      <c r="K1610" s="129" t="s">
        <v>1902</v>
      </c>
      <c r="L1610" s="182" t="s">
        <v>155</v>
      </c>
      <c r="M1610" s="436"/>
      <c r="N1610" s="436"/>
      <c r="O1610" s="450"/>
      <c r="P1610" s="450"/>
      <c r="Q1610" s="450"/>
    </row>
    <row r="1611" spans="1:17" ht="15.6">
      <c r="A1611" s="505">
        <v>45888</v>
      </c>
      <c r="B1611" s="182" t="s">
        <v>3149</v>
      </c>
      <c r="C1611" s="182" t="s">
        <v>174</v>
      </c>
      <c r="D1611" s="182" t="s">
        <v>121</v>
      </c>
      <c r="E1611" s="182">
        <v>500</v>
      </c>
      <c r="F1611" s="325">
        <f t="shared" si="15"/>
        <v>0.89135775178182408</v>
      </c>
      <c r="G1611" s="326">
        <v>560.94200000000001</v>
      </c>
      <c r="H1611" s="182" t="s">
        <v>317</v>
      </c>
      <c r="I1611" s="182" t="s">
        <v>2632</v>
      </c>
      <c r="J1611" s="182" t="s">
        <v>98</v>
      </c>
      <c r="K1611" s="129" t="s">
        <v>1902</v>
      </c>
      <c r="L1611" s="182" t="s">
        <v>155</v>
      </c>
      <c r="M1611" s="436"/>
      <c r="N1611" s="436"/>
      <c r="O1611" s="450"/>
      <c r="P1611" s="450"/>
      <c r="Q1611" s="450"/>
    </row>
    <row r="1612" spans="1:17" ht="15.6">
      <c r="A1612" s="505">
        <v>45888</v>
      </c>
      <c r="B1612" s="182" t="s">
        <v>3064</v>
      </c>
      <c r="C1612" s="182" t="s">
        <v>174</v>
      </c>
      <c r="D1612" s="182" t="s">
        <v>121</v>
      </c>
      <c r="E1612" s="182">
        <v>4000</v>
      </c>
      <c r="F1612" s="325">
        <f t="shared" si="15"/>
        <v>7.1308620142545927</v>
      </c>
      <c r="G1612" s="326">
        <v>560.94200000000001</v>
      </c>
      <c r="H1612" s="182" t="s">
        <v>317</v>
      </c>
      <c r="I1612" s="182" t="s">
        <v>2638</v>
      </c>
      <c r="J1612" s="182" t="s">
        <v>98</v>
      </c>
      <c r="K1612" s="129" t="s">
        <v>1902</v>
      </c>
      <c r="L1612" s="182" t="s">
        <v>155</v>
      </c>
      <c r="M1612" s="436"/>
      <c r="N1612" s="436"/>
      <c r="O1612" s="450"/>
      <c r="P1612" s="450"/>
      <c r="Q1612" s="450"/>
    </row>
    <row r="1613" spans="1:17" ht="15.6">
      <c r="A1613" s="505">
        <v>45888</v>
      </c>
      <c r="B1613" s="182" t="s">
        <v>2997</v>
      </c>
      <c r="C1613" s="182" t="s">
        <v>174</v>
      </c>
      <c r="D1613" s="182" t="s">
        <v>121</v>
      </c>
      <c r="E1613" s="182">
        <v>500</v>
      </c>
      <c r="F1613" s="325">
        <f t="shared" si="15"/>
        <v>0.89135775178182408</v>
      </c>
      <c r="G1613" s="326">
        <v>560.94200000000001</v>
      </c>
      <c r="H1613" s="182" t="s">
        <v>317</v>
      </c>
      <c r="I1613" s="182" t="s">
        <v>2632</v>
      </c>
      <c r="J1613" s="182" t="s">
        <v>98</v>
      </c>
      <c r="K1613" s="129" t="s">
        <v>1902</v>
      </c>
      <c r="L1613" s="182" t="s">
        <v>155</v>
      </c>
      <c r="M1613" s="436"/>
      <c r="N1613" s="436"/>
      <c r="O1613" s="450"/>
      <c r="P1613" s="450"/>
      <c r="Q1613" s="450"/>
    </row>
    <row r="1614" spans="1:17" ht="15.6">
      <c r="A1614" s="505">
        <v>45888</v>
      </c>
      <c r="B1614" s="182" t="s">
        <v>3047</v>
      </c>
      <c r="C1614" s="182" t="s">
        <v>2456</v>
      </c>
      <c r="D1614" s="182" t="s">
        <v>121</v>
      </c>
      <c r="E1614" s="496">
        <v>50000</v>
      </c>
      <c r="F1614" s="325">
        <f t="shared" si="15"/>
        <v>89.135775178182413</v>
      </c>
      <c r="G1614" s="326">
        <v>560.94200000000001</v>
      </c>
      <c r="H1614" s="182" t="s">
        <v>323</v>
      </c>
      <c r="I1614" s="182" t="s">
        <v>2676</v>
      </c>
      <c r="J1614" s="182" t="s">
        <v>98</v>
      </c>
      <c r="K1614" s="129" t="s">
        <v>1902</v>
      </c>
      <c r="L1614" s="182" t="s">
        <v>155</v>
      </c>
      <c r="M1614" s="436"/>
      <c r="N1614" s="436"/>
      <c r="O1614" s="450"/>
      <c r="P1614" s="450"/>
      <c r="Q1614" s="450"/>
    </row>
    <row r="1615" spans="1:17" ht="15.6">
      <c r="A1615" s="505">
        <v>45888</v>
      </c>
      <c r="B1615" s="182" t="s">
        <v>3052</v>
      </c>
      <c r="C1615" s="182" t="s">
        <v>174</v>
      </c>
      <c r="D1615" s="182" t="s">
        <v>121</v>
      </c>
      <c r="E1615" s="496">
        <v>1000</v>
      </c>
      <c r="F1615" s="325">
        <f t="shared" si="15"/>
        <v>1.7827155035636482</v>
      </c>
      <c r="G1615" s="326">
        <v>560.94200000000001</v>
      </c>
      <c r="H1615" s="182" t="s">
        <v>323</v>
      </c>
      <c r="I1615" s="182" t="s">
        <v>2671</v>
      </c>
      <c r="J1615" s="182" t="s">
        <v>98</v>
      </c>
      <c r="K1615" s="129" t="s">
        <v>1902</v>
      </c>
      <c r="L1615" s="182" t="s">
        <v>155</v>
      </c>
      <c r="M1615" s="436"/>
      <c r="N1615" s="436"/>
      <c r="O1615" s="450"/>
      <c r="P1615" s="450"/>
      <c r="Q1615" s="450"/>
    </row>
    <row r="1616" spans="1:17" ht="15.6">
      <c r="A1616" s="505">
        <v>45888</v>
      </c>
      <c r="B1616" s="182" t="s">
        <v>3052</v>
      </c>
      <c r="C1616" s="182" t="s">
        <v>174</v>
      </c>
      <c r="D1616" s="182" t="s">
        <v>121</v>
      </c>
      <c r="E1616" s="496">
        <v>1000</v>
      </c>
      <c r="F1616" s="325">
        <f t="shared" si="15"/>
        <v>1.7827155035636482</v>
      </c>
      <c r="G1616" s="326">
        <v>560.94200000000001</v>
      </c>
      <c r="H1616" s="182" t="s">
        <v>323</v>
      </c>
      <c r="I1616" s="182" t="s">
        <v>2671</v>
      </c>
      <c r="J1616" s="182" t="s">
        <v>98</v>
      </c>
      <c r="K1616" s="129" t="s">
        <v>1902</v>
      </c>
      <c r="L1616" s="182" t="s">
        <v>155</v>
      </c>
      <c r="M1616" s="436"/>
      <c r="N1616" s="436"/>
      <c r="O1616" s="450"/>
      <c r="P1616" s="450"/>
      <c r="Q1616" s="450"/>
    </row>
    <row r="1617" spans="1:17" ht="15.6">
      <c r="A1617" s="505">
        <v>45888</v>
      </c>
      <c r="B1617" s="182" t="s">
        <v>2721</v>
      </c>
      <c r="C1617" s="182" t="s">
        <v>174</v>
      </c>
      <c r="D1617" s="182" t="s">
        <v>117</v>
      </c>
      <c r="E1617" s="435">
        <v>1000</v>
      </c>
      <c r="F1617" s="325">
        <f t="shared" si="15"/>
        <v>1.7827155035636482</v>
      </c>
      <c r="G1617" s="326">
        <v>560.94200000000001</v>
      </c>
      <c r="H1617" s="182" t="s">
        <v>193</v>
      </c>
      <c r="I1617" s="182" t="s">
        <v>2753</v>
      </c>
      <c r="J1617" s="182" t="s">
        <v>98</v>
      </c>
      <c r="K1617" s="129" t="s">
        <v>1902</v>
      </c>
      <c r="L1617" s="182" t="s">
        <v>155</v>
      </c>
      <c r="M1617" s="436"/>
      <c r="N1617" s="436"/>
      <c r="O1617" s="450"/>
      <c r="P1617" s="450"/>
      <c r="Q1617" s="450"/>
    </row>
    <row r="1618" spans="1:17" ht="15.6">
      <c r="A1618" s="505">
        <v>45888</v>
      </c>
      <c r="B1618" s="182" t="s">
        <v>2722</v>
      </c>
      <c r="C1618" s="182" t="s">
        <v>174</v>
      </c>
      <c r="D1618" s="182" t="s">
        <v>117</v>
      </c>
      <c r="E1618" s="435">
        <v>4000</v>
      </c>
      <c r="F1618" s="325">
        <f t="shared" si="15"/>
        <v>7.1308620142545927</v>
      </c>
      <c r="G1618" s="326">
        <v>560.94200000000001</v>
      </c>
      <c r="H1618" s="182" t="s">
        <v>193</v>
      </c>
      <c r="I1618" s="182" t="s">
        <v>2756</v>
      </c>
      <c r="J1618" s="182" t="s">
        <v>98</v>
      </c>
      <c r="K1618" s="129" t="s">
        <v>1902</v>
      </c>
      <c r="L1618" s="182" t="s">
        <v>155</v>
      </c>
      <c r="M1618" s="436"/>
      <c r="N1618" s="436"/>
      <c r="O1618" s="450"/>
      <c r="P1618" s="450"/>
      <c r="Q1618" s="450"/>
    </row>
    <row r="1619" spans="1:17" ht="15.6">
      <c r="A1619" s="505">
        <v>45888</v>
      </c>
      <c r="B1619" s="182" t="s">
        <v>2723</v>
      </c>
      <c r="C1619" s="182" t="s">
        <v>174</v>
      </c>
      <c r="D1619" s="182" t="s">
        <v>117</v>
      </c>
      <c r="E1619" s="435">
        <v>500</v>
      </c>
      <c r="F1619" s="325">
        <f t="shared" si="15"/>
        <v>0.89135775178182408</v>
      </c>
      <c r="G1619" s="326">
        <v>560.94200000000001</v>
      </c>
      <c r="H1619" s="182" t="s">
        <v>193</v>
      </c>
      <c r="I1619" s="182" t="s">
        <v>2753</v>
      </c>
      <c r="J1619" s="182" t="s">
        <v>98</v>
      </c>
      <c r="K1619" s="129" t="s">
        <v>1902</v>
      </c>
      <c r="L1619" s="182" t="s">
        <v>155</v>
      </c>
      <c r="M1619" s="436"/>
      <c r="N1619" s="436"/>
      <c r="O1619" s="450"/>
      <c r="P1619" s="450"/>
      <c r="Q1619" s="450"/>
    </row>
    <row r="1620" spans="1:17" ht="15.6">
      <c r="A1620" s="505">
        <v>45888</v>
      </c>
      <c r="B1620" s="182" t="s">
        <v>2724</v>
      </c>
      <c r="C1620" s="182" t="s">
        <v>174</v>
      </c>
      <c r="D1620" s="182" t="s">
        <v>117</v>
      </c>
      <c r="E1620" s="435">
        <v>300</v>
      </c>
      <c r="F1620" s="325">
        <f t="shared" si="15"/>
        <v>0.53481465106909443</v>
      </c>
      <c r="G1620" s="326">
        <v>560.94200000000001</v>
      </c>
      <c r="H1620" s="182" t="s">
        <v>193</v>
      </c>
      <c r="I1620" s="182" t="s">
        <v>2753</v>
      </c>
      <c r="J1620" s="182" t="s">
        <v>98</v>
      </c>
      <c r="K1620" s="129" t="s">
        <v>1902</v>
      </c>
      <c r="L1620" s="182" t="s">
        <v>155</v>
      </c>
      <c r="M1620" s="436"/>
      <c r="N1620" s="436"/>
      <c r="O1620" s="450"/>
      <c r="P1620" s="450"/>
      <c r="Q1620" s="450"/>
    </row>
    <row r="1621" spans="1:17" ht="15.6">
      <c r="A1621" s="505">
        <v>45888</v>
      </c>
      <c r="B1621" s="182" t="s">
        <v>2725</v>
      </c>
      <c r="C1621" s="182" t="s">
        <v>313</v>
      </c>
      <c r="D1621" s="182" t="s">
        <v>117</v>
      </c>
      <c r="E1621" s="435">
        <v>1500</v>
      </c>
      <c r="F1621" s="325">
        <f t="shared" si="15"/>
        <v>2.6740732553454722</v>
      </c>
      <c r="G1621" s="326">
        <v>560.94200000000001</v>
      </c>
      <c r="H1621" s="182" t="s">
        <v>193</v>
      </c>
      <c r="I1621" s="182" t="s">
        <v>2757</v>
      </c>
      <c r="J1621" s="182" t="s">
        <v>98</v>
      </c>
      <c r="K1621" s="129" t="s">
        <v>1902</v>
      </c>
      <c r="L1621" s="182" t="s">
        <v>155</v>
      </c>
      <c r="M1621" s="436"/>
      <c r="N1621" s="436"/>
      <c r="O1621" s="450"/>
      <c r="P1621" s="450"/>
      <c r="Q1621" s="450"/>
    </row>
    <row r="1622" spans="1:17" ht="15.6">
      <c r="A1622" s="505">
        <v>45888</v>
      </c>
      <c r="B1622" s="182" t="s">
        <v>2726</v>
      </c>
      <c r="C1622" s="182" t="s">
        <v>174</v>
      </c>
      <c r="D1622" s="182" t="s">
        <v>117</v>
      </c>
      <c r="E1622" s="435">
        <v>300</v>
      </c>
      <c r="F1622" s="325">
        <f t="shared" si="15"/>
        <v>0.53481465106909443</v>
      </c>
      <c r="G1622" s="326">
        <v>560.94200000000001</v>
      </c>
      <c r="H1622" s="182" t="s">
        <v>193</v>
      </c>
      <c r="I1622" s="182" t="s">
        <v>2753</v>
      </c>
      <c r="J1622" s="182" t="s">
        <v>98</v>
      </c>
      <c r="K1622" s="129" t="s">
        <v>1902</v>
      </c>
      <c r="L1622" s="182" t="s">
        <v>155</v>
      </c>
      <c r="M1622" s="436"/>
      <c r="N1622" s="436"/>
      <c r="O1622" s="450"/>
      <c r="P1622" s="450"/>
      <c r="Q1622" s="450"/>
    </row>
    <row r="1623" spans="1:17" ht="15.6">
      <c r="A1623" s="505">
        <v>45888</v>
      </c>
      <c r="B1623" s="182" t="s">
        <v>2727</v>
      </c>
      <c r="C1623" s="182" t="s">
        <v>174</v>
      </c>
      <c r="D1623" s="182" t="s">
        <v>117</v>
      </c>
      <c r="E1623" s="435">
        <v>300</v>
      </c>
      <c r="F1623" s="325">
        <f t="shared" si="15"/>
        <v>0.53481465106909443</v>
      </c>
      <c r="G1623" s="326">
        <v>560.94200000000001</v>
      </c>
      <c r="H1623" s="182" t="s">
        <v>193</v>
      </c>
      <c r="I1623" s="182" t="s">
        <v>2753</v>
      </c>
      <c r="J1623" s="182" t="s">
        <v>98</v>
      </c>
      <c r="K1623" s="129" t="s">
        <v>1902</v>
      </c>
      <c r="L1623" s="182" t="s">
        <v>155</v>
      </c>
      <c r="M1623" s="436"/>
      <c r="N1623" s="436"/>
      <c r="O1623" s="450"/>
      <c r="P1623" s="450"/>
      <c r="Q1623" s="450"/>
    </row>
    <row r="1624" spans="1:17" ht="15.6">
      <c r="A1624" s="505">
        <v>45888</v>
      </c>
      <c r="B1624" s="182" t="s">
        <v>2728</v>
      </c>
      <c r="C1624" s="182" t="s">
        <v>177</v>
      </c>
      <c r="D1624" s="182" t="s">
        <v>117</v>
      </c>
      <c r="E1624" s="435">
        <v>20000</v>
      </c>
      <c r="F1624" s="325">
        <f t="shared" si="15"/>
        <v>35.654310071272967</v>
      </c>
      <c r="G1624" s="326">
        <v>560.94200000000001</v>
      </c>
      <c r="H1624" s="182" t="s">
        <v>193</v>
      </c>
      <c r="I1624" s="182" t="s">
        <v>2758</v>
      </c>
      <c r="J1624" s="182" t="s">
        <v>98</v>
      </c>
      <c r="K1624" s="129" t="s">
        <v>1902</v>
      </c>
      <c r="L1624" s="182" t="s">
        <v>155</v>
      </c>
      <c r="M1624" s="436"/>
      <c r="N1624" s="436"/>
      <c r="O1624" s="450"/>
      <c r="P1624" s="450"/>
      <c r="Q1624" s="450"/>
    </row>
    <row r="1625" spans="1:17" ht="15.6">
      <c r="A1625" s="505">
        <v>45888</v>
      </c>
      <c r="B1625" s="182" t="s">
        <v>2870</v>
      </c>
      <c r="C1625" s="182" t="s">
        <v>174</v>
      </c>
      <c r="D1625" s="182" t="s">
        <v>117</v>
      </c>
      <c r="E1625" s="182">
        <v>1000</v>
      </c>
      <c r="F1625" s="325">
        <f t="shared" si="15"/>
        <v>1.7827155035636482</v>
      </c>
      <c r="G1625" s="326">
        <v>560.94200000000001</v>
      </c>
      <c r="H1625" s="182" t="s">
        <v>187</v>
      </c>
      <c r="I1625" s="182" t="s">
        <v>2880</v>
      </c>
      <c r="J1625" s="182" t="s">
        <v>98</v>
      </c>
      <c r="K1625" s="129" t="s">
        <v>1902</v>
      </c>
      <c r="L1625" s="182" t="s">
        <v>155</v>
      </c>
      <c r="M1625" s="436"/>
      <c r="N1625" s="436"/>
      <c r="O1625" s="450"/>
      <c r="P1625" s="450"/>
      <c r="Q1625" s="450"/>
    </row>
    <row r="1626" spans="1:17" ht="15.6">
      <c r="A1626" s="505">
        <v>45888</v>
      </c>
      <c r="B1626" s="182" t="s">
        <v>2871</v>
      </c>
      <c r="C1626" s="182" t="s">
        <v>174</v>
      </c>
      <c r="D1626" s="182" t="s">
        <v>117</v>
      </c>
      <c r="E1626" s="182">
        <v>1000</v>
      </c>
      <c r="F1626" s="325">
        <f t="shared" si="15"/>
        <v>1.7827155035636482</v>
      </c>
      <c r="G1626" s="326">
        <v>560.94200000000001</v>
      </c>
      <c r="H1626" s="182" t="s">
        <v>187</v>
      </c>
      <c r="I1626" s="182" t="s">
        <v>2880</v>
      </c>
      <c r="J1626" s="182" t="s">
        <v>98</v>
      </c>
      <c r="K1626" s="129" t="s">
        <v>1902</v>
      </c>
      <c r="L1626" s="182" t="s">
        <v>155</v>
      </c>
      <c r="M1626" s="436"/>
      <c r="N1626" s="436"/>
      <c r="O1626" s="450"/>
      <c r="P1626" s="450"/>
      <c r="Q1626" s="450"/>
    </row>
    <row r="1627" spans="1:17" ht="15.6">
      <c r="A1627" s="505">
        <v>45888</v>
      </c>
      <c r="B1627" s="182" t="s">
        <v>2872</v>
      </c>
      <c r="C1627" s="182" t="s">
        <v>174</v>
      </c>
      <c r="D1627" s="182" t="s">
        <v>117</v>
      </c>
      <c r="E1627" s="182">
        <v>1000</v>
      </c>
      <c r="F1627" s="325">
        <f t="shared" si="15"/>
        <v>1.7827155035636482</v>
      </c>
      <c r="G1627" s="326">
        <v>560.94200000000001</v>
      </c>
      <c r="H1627" s="182" t="s">
        <v>187</v>
      </c>
      <c r="I1627" s="182" t="s">
        <v>2880</v>
      </c>
      <c r="J1627" s="182" t="s">
        <v>98</v>
      </c>
      <c r="K1627" s="129" t="s">
        <v>1902</v>
      </c>
      <c r="L1627" s="182" t="s">
        <v>155</v>
      </c>
      <c r="M1627" s="436"/>
      <c r="N1627" s="436"/>
      <c r="O1627" s="450"/>
      <c r="P1627" s="450"/>
      <c r="Q1627" s="450"/>
    </row>
    <row r="1628" spans="1:17" ht="15.6">
      <c r="A1628" s="505">
        <v>45888</v>
      </c>
      <c r="B1628" s="182" t="s">
        <v>2690</v>
      </c>
      <c r="C1628" s="182" t="s">
        <v>174</v>
      </c>
      <c r="D1628" s="182" t="s">
        <v>117</v>
      </c>
      <c r="E1628" s="435">
        <v>9000</v>
      </c>
      <c r="F1628" s="325">
        <f t="shared" si="15"/>
        <v>16.044439532072836</v>
      </c>
      <c r="G1628" s="326">
        <v>560.94200000000001</v>
      </c>
      <c r="H1628" s="182" t="s">
        <v>190</v>
      </c>
      <c r="I1628" s="182" t="s">
        <v>2711</v>
      </c>
      <c r="J1628" s="182" t="s">
        <v>98</v>
      </c>
      <c r="K1628" s="129" t="s">
        <v>1902</v>
      </c>
      <c r="L1628" s="182" t="s">
        <v>155</v>
      </c>
      <c r="M1628" s="436"/>
      <c r="N1628" s="436"/>
      <c r="O1628" s="450"/>
      <c r="P1628" s="450"/>
      <c r="Q1628" s="450"/>
    </row>
    <row r="1629" spans="1:17" ht="15.6">
      <c r="A1629" s="535">
        <v>45889</v>
      </c>
      <c r="B1629" s="517" t="s">
        <v>2099</v>
      </c>
      <c r="C1629" s="308" t="s">
        <v>174</v>
      </c>
      <c r="D1629" s="308" t="s">
        <v>119</v>
      </c>
      <c r="E1629" s="517">
        <v>1000</v>
      </c>
      <c r="F1629" s="325">
        <f t="shared" si="15"/>
        <v>1.7827155035636482</v>
      </c>
      <c r="G1629" s="326">
        <v>560.94200000000001</v>
      </c>
      <c r="H1629" s="524" t="s">
        <v>153</v>
      </c>
      <c r="I1629" s="525" t="s">
        <v>2494</v>
      </c>
      <c r="J1629" s="182" t="s">
        <v>98</v>
      </c>
      <c r="K1629" s="129" t="s">
        <v>1902</v>
      </c>
      <c r="L1629" s="182" t="s">
        <v>155</v>
      </c>
      <c r="M1629" s="512"/>
      <c r="N1629" s="512"/>
      <c r="O1629" s="450"/>
      <c r="P1629" s="450"/>
      <c r="Q1629" s="450"/>
    </row>
    <row r="1630" spans="1:17" ht="15.6">
      <c r="A1630" s="535">
        <v>45889</v>
      </c>
      <c r="B1630" s="517" t="s">
        <v>2100</v>
      </c>
      <c r="C1630" s="308" t="s">
        <v>174</v>
      </c>
      <c r="D1630" s="308" t="s">
        <v>119</v>
      </c>
      <c r="E1630" s="517">
        <v>1000</v>
      </c>
      <c r="F1630" s="325">
        <f t="shared" si="15"/>
        <v>1.7827155035636482</v>
      </c>
      <c r="G1630" s="326">
        <v>560.94200000000001</v>
      </c>
      <c r="H1630" s="524" t="s">
        <v>153</v>
      </c>
      <c r="I1630" s="525" t="s">
        <v>2494</v>
      </c>
      <c r="J1630" s="182" t="s">
        <v>98</v>
      </c>
      <c r="K1630" s="129" t="s">
        <v>1902</v>
      </c>
      <c r="L1630" s="182" t="s">
        <v>155</v>
      </c>
      <c r="M1630" s="512"/>
      <c r="N1630" s="512"/>
      <c r="O1630" s="450"/>
      <c r="P1630" s="450"/>
      <c r="Q1630" s="450"/>
    </row>
    <row r="1631" spans="1:17" ht="15.6">
      <c r="A1631" s="504">
        <v>45889</v>
      </c>
      <c r="B1631" s="182" t="s">
        <v>2523</v>
      </c>
      <c r="C1631" s="182" t="s">
        <v>174</v>
      </c>
      <c r="D1631" s="182" t="s">
        <v>118</v>
      </c>
      <c r="E1631" s="435">
        <v>500</v>
      </c>
      <c r="F1631" s="325">
        <f t="shared" si="15"/>
        <v>0.89135775178182408</v>
      </c>
      <c r="G1631" s="326">
        <v>560.94200000000001</v>
      </c>
      <c r="H1631" s="182" t="s">
        <v>583</v>
      </c>
      <c r="I1631" s="182" t="s">
        <v>2536</v>
      </c>
      <c r="J1631" s="182" t="s">
        <v>98</v>
      </c>
      <c r="K1631" s="129" t="s">
        <v>1902</v>
      </c>
      <c r="L1631" s="182" t="s">
        <v>155</v>
      </c>
      <c r="M1631" s="512"/>
      <c r="N1631" s="512"/>
      <c r="O1631" s="450"/>
      <c r="P1631" s="450"/>
      <c r="Q1631" s="450"/>
    </row>
    <row r="1632" spans="1:17" ht="15.6">
      <c r="A1632" s="504">
        <v>45889</v>
      </c>
      <c r="B1632" s="182" t="s">
        <v>2524</v>
      </c>
      <c r="C1632" s="182" t="s">
        <v>174</v>
      </c>
      <c r="D1632" s="182" t="s">
        <v>118</v>
      </c>
      <c r="E1632" s="435">
        <v>500</v>
      </c>
      <c r="F1632" s="325">
        <f t="shared" si="15"/>
        <v>0.89135775178182408</v>
      </c>
      <c r="G1632" s="326">
        <v>560.94200000000001</v>
      </c>
      <c r="H1632" s="182" t="s">
        <v>583</v>
      </c>
      <c r="I1632" s="182" t="s">
        <v>2536</v>
      </c>
      <c r="J1632" s="182" t="s">
        <v>98</v>
      </c>
      <c r="K1632" s="129" t="s">
        <v>1902</v>
      </c>
      <c r="L1632" s="182" t="s">
        <v>155</v>
      </c>
      <c r="M1632" s="512"/>
      <c r="N1632" s="512"/>
      <c r="O1632" s="450"/>
      <c r="P1632" s="450"/>
      <c r="Q1632" s="450"/>
    </row>
    <row r="1633" spans="1:17" ht="15.6">
      <c r="A1633" s="506">
        <v>45889</v>
      </c>
      <c r="B1633" s="182" t="s">
        <v>2388</v>
      </c>
      <c r="C1633" s="182" t="s">
        <v>182</v>
      </c>
      <c r="D1633" s="182" t="s">
        <v>118</v>
      </c>
      <c r="E1633" s="435">
        <v>3180</v>
      </c>
      <c r="F1633" s="325">
        <f t="shared" si="15"/>
        <v>5.6690353013324017</v>
      </c>
      <c r="G1633" s="326">
        <v>560.94200000000001</v>
      </c>
      <c r="H1633" s="182" t="s">
        <v>583</v>
      </c>
      <c r="I1633" s="182" t="s">
        <v>2389</v>
      </c>
      <c r="J1633" s="182" t="s">
        <v>98</v>
      </c>
      <c r="K1633" s="129" t="s">
        <v>1902</v>
      </c>
      <c r="L1633" s="182" t="s">
        <v>155</v>
      </c>
      <c r="M1633" s="512"/>
      <c r="N1633" s="512"/>
      <c r="O1633" s="450"/>
      <c r="P1633" s="450"/>
      <c r="Q1633" s="450"/>
    </row>
    <row r="1634" spans="1:17" ht="15.6">
      <c r="A1634" s="467">
        <v>45889</v>
      </c>
      <c r="B1634" s="177" t="s">
        <v>3041</v>
      </c>
      <c r="C1634" s="177" t="s">
        <v>174</v>
      </c>
      <c r="D1634" s="177" t="s">
        <v>121</v>
      </c>
      <c r="E1634" s="177">
        <v>1000</v>
      </c>
      <c r="F1634" s="325">
        <f t="shared" si="15"/>
        <v>1.7827155035636482</v>
      </c>
      <c r="G1634" s="326">
        <v>560.94200000000001</v>
      </c>
      <c r="H1634" s="177" t="s">
        <v>184</v>
      </c>
      <c r="I1634" s="177" t="s">
        <v>2558</v>
      </c>
      <c r="J1634" s="182" t="s">
        <v>98</v>
      </c>
      <c r="K1634" s="129" t="s">
        <v>1902</v>
      </c>
      <c r="L1634" s="182" t="s">
        <v>155</v>
      </c>
      <c r="M1634" s="436"/>
      <c r="N1634" s="436"/>
      <c r="O1634" s="450"/>
      <c r="P1634" s="450"/>
      <c r="Q1634" s="450"/>
    </row>
    <row r="1635" spans="1:17" ht="15.6">
      <c r="A1635" s="467">
        <v>45889</v>
      </c>
      <c r="B1635" s="177" t="s">
        <v>3039</v>
      </c>
      <c r="C1635" s="177" t="s">
        <v>174</v>
      </c>
      <c r="D1635" s="177" t="s">
        <v>121</v>
      </c>
      <c r="E1635" s="177">
        <v>1000</v>
      </c>
      <c r="F1635" s="325">
        <f t="shared" si="15"/>
        <v>1.7827155035636482</v>
      </c>
      <c r="G1635" s="326">
        <v>560.94200000000001</v>
      </c>
      <c r="H1635" s="177" t="s">
        <v>184</v>
      </c>
      <c r="I1635" s="177" t="s">
        <v>2558</v>
      </c>
      <c r="J1635" s="182" t="s">
        <v>98</v>
      </c>
      <c r="K1635" s="129" t="s">
        <v>1902</v>
      </c>
      <c r="L1635" s="182" t="s">
        <v>155</v>
      </c>
      <c r="M1635" s="436"/>
      <c r="N1635" s="436"/>
      <c r="O1635" s="450"/>
      <c r="P1635" s="450"/>
      <c r="Q1635" s="450"/>
    </row>
    <row r="1636" spans="1:17" ht="15.6">
      <c r="A1636" s="467">
        <v>45889</v>
      </c>
      <c r="B1636" s="177" t="s">
        <v>3039</v>
      </c>
      <c r="C1636" s="177" t="s">
        <v>174</v>
      </c>
      <c r="D1636" s="177" t="s">
        <v>121</v>
      </c>
      <c r="E1636" s="177">
        <v>1000</v>
      </c>
      <c r="F1636" s="325">
        <f t="shared" si="15"/>
        <v>1.7827155035636482</v>
      </c>
      <c r="G1636" s="326">
        <v>560.94200000000001</v>
      </c>
      <c r="H1636" s="177" t="s">
        <v>184</v>
      </c>
      <c r="I1636" s="177" t="s">
        <v>2558</v>
      </c>
      <c r="J1636" s="182" t="s">
        <v>98</v>
      </c>
      <c r="K1636" s="129" t="s">
        <v>1902</v>
      </c>
      <c r="L1636" s="182" t="s">
        <v>155</v>
      </c>
      <c r="M1636" s="436"/>
      <c r="N1636" s="436"/>
      <c r="O1636" s="450"/>
      <c r="P1636" s="450"/>
      <c r="Q1636" s="450"/>
    </row>
    <row r="1637" spans="1:17" ht="15.6">
      <c r="A1637" s="467">
        <v>45889</v>
      </c>
      <c r="B1637" s="177" t="s">
        <v>3041</v>
      </c>
      <c r="C1637" s="177" t="s">
        <v>174</v>
      </c>
      <c r="D1637" s="177" t="s">
        <v>121</v>
      </c>
      <c r="E1637" s="177">
        <v>1000</v>
      </c>
      <c r="F1637" s="325">
        <f t="shared" si="15"/>
        <v>1.7827155035636482</v>
      </c>
      <c r="G1637" s="326">
        <v>560.94200000000001</v>
      </c>
      <c r="H1637" s="177" t="s">
        <v>184</v>
      </c>
      <c r="I1637" s="177" t="s">
        <v>2558</v>
      </c>
      <c r="J1637" s="182" t="s">
        <v>98</v>
      </c>
      <c r="K1637" s="129" t="s">
        <v>1902</v>
      </c>
      <c r="L1637" s="182" t="s">
        <v>155</v>
      </c>
      <c r="M1637" s="436"/>
      <c r="N1637" s="436"/>
      <c r="O1637" s="450"/>
      <c r="P1637" s="450"/>
      <c r="Q1637" s="450"/>
    </row>
    <row r="1638" spans="1:17" ht="15.6">
      <c r="A1638" s="505">
        <v>45889</v>
      </c>
      <c r="B1638" s="182" t="s">
        <v>3083</v>
      </c>
      <c r="C1638" s="182" t="s">
        <v>174</v>
      </c>
      <c r="D1638" s="177" t="s">
        <v>121</v>
      </c>
      <c r="E1638" s="182">
        <v>500</v>
      </c>
      <c r="F1638" s="325">
        <f t="shared" si="15"/>
        <v>0.89135775178182408</v>
      </c>
      <c r="G1638" s="326">
        <v>560.94200000000001</v>
      </c>
      <c r="H1638" s="182" t="s">
        <v>175</v>
      </c>
      <c r="I1638" s="182" t="s">
        <v>2588</v>
      </c>
      <c r="J1638" s="182" t="s">
        <v>98</v>
      </c>
      <c r="K1638" s="129" t="s">
        <v>1902</v>
      </c>
      <c r="L1638" s="182" t="s">
        <v>155</v>
      </c>
      <c r="M1638" s="436"/>
      <c r="N1638" s="436"/>
      <c r="O1638" s="450"/>
      <c r="P1638" s="450"/>
      <c r="Q1638" s="450"/>
    </row>
    <row r="1639" spans="1:17" ht="15.6">
      <c r="A1639" s="505">
        <v>45889</v>
      </c>
      <c r="B1639" s="182" t="s">
        <v>3083</v>
      </c>
      <c r="C1639" s="182" t="s">
        <v>174</v>
      </c>
      <c r="D1639" s="177" t="s">
        <v>121</v>
      </c>
      <c r="E1639" s="182">
        <v>500</v>
      </c>
      <c r="F1639" s="325">
        <f t="shared" si="15"/>
        <v>0.89135775178182408</v>
      </c>
      <c r="G1639" s="326">
        <v>560.94200000000001</v>
      </c>
      <c r="H1639" s="182" t="s">
        <v>175</v>
      </c>
      <c r="I1639" s="182" t="s">
        <v>2588</v>
      </c>
      <c r="J1639" s="182" t="s">
        <v>98</v>
      </c>
      <c r="K1639" s="129" t="s">
        <v>1902</v>
      </c>
      <c r="L1639" s="182" t="s">
        <v>155</v>
      </c>
      <c r="M1639" s="436"/>
      <c r="N1639" s="436"/>
      <c r="O1639" s="450"/>
      <c r="P1639" s="450"/>
      <c r="Q1639" s="450"/>
    </row>
    <row r="1640" spans="1:17" ht="15.6">
      <c r="A1640" s="505">
        <v>45889</v>
      </c>
      <c r="B1640" s="182" t="s">
        <v>3083</v>
      </c>
      <c r="C1640" s="182" t="s">
        <v>174</v>
      </c>
      <c r="D1640" s="182" t="s">
        <v>121</v>
      </c>
      <c r="E1640" s="182">
        <v>500</v>
      </c>
      <c r="F1640" s="325">
        <f t="shared" si="15"/>
        <v>0.89135775178182408</v>
      </c>
      <c r="G1640" s="326">
        <v>560.94200000000001</v>
      </c>
      <c r="H1640" s="182" t="s">
        <v>317</v>
      </c>
      <c r="I1640" s="182" t="s">
        <v>2632</v>
      </c>
      <c r="J1640" s="182" t="s">
        <v>98</v>
      </c>
      <c r="K1640" s="129" t="s">
        <v>1902</v>
      </c>
      <c r="L1640" s="182" t="s">
        <v>155</v>
      </c>
      <c r="M1640" s="436"/>
      <c r="N1640" s="436"/>
      <c r="O1640" s="450"/>
      <c r="P1640" s="450"/>
      <c r="Q1640" s="450"/>
    </row>
    <row r="1641" spans="1:17" ht="15.6">
      <c r="A1641" s="505">
        <v>45889</v>
      </c>
      <c r="B1641" s="182" t="s">
        <v>2628</v>
      </c>
      <c r="C1641" s="182" t="s">
        <v>365</v>
      </c>
      <c r="D1641" s="182" t="s">
        <v>121</v>
      </c>
      <c r="E1641" s="182">
        <v>1500</v>
      </c>
      <c r="F1641" s="325">
        <f t="shared" si="15"/>
        <v>2.6740732553454722</v>
      </c>
      <c r="G1641" s="326">
        <v>560.94200000000001</v>
      </c>
      <c r="H1641" s="182" t="s">
        <v>317</v>
      </c>
      <c r="I1641" s="182" t="s">
        <v>2639</v>
      </c>
      <c r="J1641" s="182" t="s">
        <v>98</v>
      </c>
      <c r="K1641" s="129" t="s">
        <v>1902</v>
      </c>
      <c r="L1641" s="182" t="s">
        <v>155</v>
      </c>
      <c r="M1641" s="436"/>
      <c r="N1641" s="436"/>
      <c r="O1641" s="450"/>
      <c r="P1641" s="450"/>
      <c r="Q1641" s="450"/>
    </row>
    <row r="1642" spans="1:17" ht="15.6">
      <c r="A1642" s="505">
        <v>45889</v>
      </c>
      <c r="B1642" s="182" t="s">
        <v>3083</v>
      </c>
      <c r="C1642" s="182" t="s">
        <v>174</v>
      </c>
      <c r="D1642" s="182" t="s">
        <v>121</v>
      </c>
      <c r="E1642" s="182">
        <v>500</v>
      </c>
      <c r="F1642" s="325">
        <f t="shared" si="15"/>
        <v>0.89135775178182408</v>
      </c>
      <c r="G1642" s="326">
        <v>560.94200000000001</v>
      </c>
      <c r="H1642" s="182" t="s">
        <v>317</v>
      </c>
      <c r="I1642" s="182" t="s">
        <v>2632</v>
      </c>
      <c r="J1642" s="182" t="s">
        <v>98</v>
      </c>
      <c r="K1642" s="129" t="s">
        <v>1902</v>
      </c>
      <c r="L1642" s="182" t="s">
        <v>155</v>
      </c>
      <c r="M1642" s="436"/>
      <c r="N1642" s="436"/>
      <c r="O1642" s="450"/>
      <c r="P1642" s="450"/>
      <c r="Q1642" s="450"/>
    </row>
    <row r="1643" spans="1:17" ht="15.6">
      <c r="A1643" s="505">
        <v>45889</v>
      </c>
      <c r="B1643" s="182" t="s">
        <v>3083</v>
      </c>
      <c r="C1643" s="182" t="s">
        <v>174</v>
      </c>
      <c r="D1643" s="182" t="s">
        <v>121</v>
      </c>
      <c r="E1643" s="182">
        <v>500</v>
      </c>
      <c r="F1643" s="325">
        <f t="shared" ref="F1643:F1706" si="16">E1643/G1643</f>
        <v>0.89135775178182408</v>
      </c>
      <c r="G1643" s="326">
        <v>560.94200000000001</v>
      </c>
      <c r="H1643" s="182" t="s">
        <v>317</v>
      </c>
      <c r="I1643" s="182" t="s">
        <v>2632</v>
      </c>
      <c r="J1643" s="182" t="s">
        <v>98</v>
      </c>
      <c r="K1643" s="129" t="s">
        <v>1902</v>
      </c>
      <c r="L1643" s="182" t="s">
        <v>155</v>
      </c>
      <c r="M1643" s="436"/>
      <c r="N1643" s="436"/>
      <c r="O1643" s="450"/>
      <c r="P1643" s="450"/>
      <c r="Q1643" s="450"/>
    </row>
    <row r="1644" spans="1:17" ht="15.6">
      <c r="A1644" s="505">
        <v>45889</v>
      </c>
      <c r="B1644" s="182" t="s">
        <v>3005</v>
      </c>
      <c r="C1644" s="182" t="s">
        <v>174</v>
      </c>
      <c r="D1644" s="182" t="s">
        <v>121</v>
      </c>
      <c r="E1644" s="182">
        <v>500</v>
      </c>
      <c r="F1644" s="325">
        <f t="shared" si="16"/>
        <v>0.89135775178182408</v>
      </c>
      <c r="G1644" s="326">
        <v>560.94200000000001</v>
      </c>
      <c r="H1644" s="182" t="s">
        <v>317</v>
      </c>
      <c r="I1644" s="182" t="s">
        <v>2632</v>
      </c>
      <c r="J1644" s="182" t="s">
        <v>98</v>
      </c>
      <c r="K1644" s="129" t="s">
        <v>1902</v>
      </c>
      <c r="L1644" s="182" t="s">
        <v>155</v>
      </c>
      <c r="M1644" s="436"/>
      <c r="N1644" s="436"/>
      <c r="O1644" s="450"/>
      <c r="P1644" s="450"/>
      <c r="Q1644" s="450"/>
    </row>
    <row r="1645" spans="1:17" ht="15.6">
      <c r="A1645" s="505">
        <v>45889</v>
      </c>
      <c r="B1645" s="182" t="s">
        <v>3083</v>
      </c>
      <c r="C1645" s="182" t="s">
        <v>174</v>
      </c>
      <c r="D1645" s="182" t="s">
        <v>121</v>
      </c>
      <c r="E1645" s="182">
        <v>500</v>
      </c>
      <c r="F1645" s="325">
        <f t="shared" si="16"/>
        <v>0.89135775178182408</v>
      </c>
      <c r="G1645" s="326">
        <v>560.94200000000001</v>
      </c>
      <c r="H1645" s="182" t="s">
        <v>317</v>
      </c>
      <c r="I1645" s="182" t="s">
        <v>2632</v>
      </c>
      <c r="J1645" s="182" t="s">
        <v>98</v>
      </c>
      <c r="K1645" s="129" t="s">
        <v>1902</v>
      </c>
      <c r="L1645" s="182" t="s">
        <v>155</v>
      </c>
      <c r="M1645" s="436"/>
      <c r="N1645" s="436"/>
      <c r="O1645" s="450"/>
      <c r="P1645" s="450"/>
      <c r="Q1645" s="450"/>
    </row>
    <row r="1646" spans="1:17" ht="15.6">
      <c r="A1646" s="505">
        <v>45889</v>
      </c>
      <c r="B1646" s="182" t="s">
        <v>3150</v>
      </c>
      <c r="C1646" s="182" t="s">
        <v>174</v>
      </c>
      <c r="D1646" s="182" t="s">
        <v>121</v>
      </c>
      <c r="E1646" s="496">
        <v>1000</v>
      </c>
      <c r="F1646" s="325">
        <f t="shared" si="16"/>
        <v>1.7827155035636482</v>
      </c>
      <c r="G1646" s="326">
        <v>560.94200000000001</v>
      </c>
      <c r="H1646" s="182" t="s">
        <v>323</v>
      </c>
      <c r="I1646" s="182" t="s">
        <v>2671</v>
      </c>
      <c r="J1646" s="182" t="s">
        <v>98</v>
      </c>
      <c r="K1646" s="129" t="s">
        <v>1902</v>
      </c>
      <c r="L1646" s="182" t="s">
        <v>155</v>
      </c>
      <c r="M1646" s="436"/>
      <c r="N1646" s="436"/>
      <c r="O1646" s="450"/>
      <c r="P1646" s="450"/>
      <c r="Q1646" s="450"/>
    </row>
    <row r="1647" spans="1:17" ht="15.6">
      <c r="A1647" s="505">
        <v>45889</v>
      </c>
      <c r="B1647" s="182" t="s">
        <v>3060</v>
      </c>
      <c r="C1647" s="182" t="s">
        <v>174</v>
      </c>
      <c r="D1647" s="182" t="s">
        <v>121</v>
      </c>
      <c r="E1647" s="496">
        <v>1000</v>
      </c>
      <c r="F1647" s="325">
        <f t="shared" si="16"/>
        <v>1.7827155035636482</v>
      </c>
      <c r="G1647" s="326">
        <v>560.94200000000001</v>
      </c>
      <c r="H1647" s="182" t="s">
        <v>323</v>
      </c>
      <c r="I1647" s="182" t="s">
        <v>2671</v>
      </c>
      <c r="J1647" s="182" t="s">
        <v>98</v>
      </c>
      <c r="K1647" s="129" t="s">
        <v>1902</v>
      </c>
      <c r="L1647" s="182" t="s">
        <v>155</v>
      </c>
      <c r="M1647" s="436"/>
      <c r="N1647" s="436"/>
      <c r="O1647" s="450"/>
      <c r="P1647" s="450"/>
      <c r="Q1647" s="450"/>
    </row>
    <row r="1648" spans="1:17" ht="15.6">
      <c r="A1648" s="505">
        <v>45889</v>
      </c>
      <c r="B1648" s="182" t="s">
        <v>3057</v>
      </c>
      <c r="C1648" s="182" t="s">
        <v>174</v>
      </c>
      <c r="D1648" s="182" t="s">
        <v>121</v>
      </c>
      <c r="E1648" s="496">
        <v>1000</v>
      </c>
      <c r="F1648" s="325">
        <f t="shared" si="16"/>
        <v>1.7827155035636482</v>
      </c>
      <c r="G1648" s="326">
        <v>560.94200000000001</v>
      </c>
      <c r="H1648" s="182" t="s">
        <v>323</v>
      </c>
      <c r="I1648" s="182" t="s">
        <v>2671</v>
      </c>
      <c r="J1648" s="182" t="s">
        <v>98</v>
      </c>
      <c r="K1648" s="129" t="s">
        <v>1902</v>
      </c>
      <c r="L1648" s="182" t="s">
        <v>155</v>
      </c>
      <c r="M1648" s="436"/>
      <c r="N1648" s="436"/>
      <c r="O1648" s="450"/>
      <c r="P1648" s="450"/>
      <c r="Q1648" s="450"/>
    </row>
    <row r="1649" spans="1:17" ht="15.6">
      <c r="A1649" s="505">
        <v>45889</v>
      </c>
      <c r="B1649" s="182" t="s">
        <v>3052</v>
      </c>
      <c r="C1649" s="182" t="s">
        <v>174</v>
      </c>
      <c r="D1649" s="182" t="s">
        <v>121</v>
      </c>
      <c r="E1649" s="496">
        <v>1000</v>
      </c>
      <c r="F1649" s="325">
        <f t="shared" si="16"/>
        <v>1.7827155035636482</v>
      </c>
      <c r="G1649" s="326">
        <v>560.94200000000001</v>
      </c>
      <c r="H1649" s="182" t="s">
        <v>323</v>
      </c>
      <c r="I1649" s="182" t="s">
        <v>2671</v>
      </c>
      <c r="J1649" s="182" t="s">
        <v>98</v>
      </c>
      <c r="K1649" s="129" t="s">
        <v>1902</v>
      </c>
      <c r="L1649" s="182" t="s">
        <v>155</v>
      </c>
      <c r="M1649" s="436"/>
      <c r="N1649" s="436"/>
      <c r="O1649" s="450"/>
      <c r="P1649" s="450"/>
      <c r="Q1649" s="450"/>
    </row>
    <row r="1650" spans="1:17" ht="15.6">
      <c r="A1650" s="505">
        <v>45889</v>
      </c>
      <c r="B1650" s="182" t="s">
        <v>2664</v>
      </c>
      <c r="C1650" s="182" t="s">
        <v>368</v>
      </c>
      <c r="D1650" s="182" t="s">
        <v>121</v>
      </c>
      <c r="E1650" s="496">
        <v>1000</v>
      </c>
      <c r="F1650" s="325">
        <f t="shared" si="16"/>
        <v>1.7827155035636482</v>
      </c>
      <c r="G1650" s="326">
        <v>560.94200000000001</v>
      </c>
      <c r="H1650" s="182" t="s">
        <v>323</v>
      </c>
      <c r="I1650" s="182" t="s">
        <v>2678</v>
      </c>
      <c r="J1650" s="182" t="s">
        <v>98</v>
      </c>
      <c r="K1650" s="129" t="s">
        <v>1902</v>
      </c>
      <c r="L1650" s="182" t="s">
        <v>155</v>
      </c>
      <c r="M1650" s="436"/>
      <c r="N1650" s="436"/>
      <c r="O1650" s="450"/>
      <c r="P1650" s="450"/>
      <c r="Q1650" s="450"/>
    </row>
    <row r="1651" spans="1:17" ht="15.6">
      <c r="A1651" s="505">
        <v>45889</v>
      </c>
      <c r="B1651" s="182" t="s">
        <v>3151</v>
      </c>
      <c r="C1651" s="182" t="s">
        <v>174</v>
      </c>
      <c r="D1651" s="182" t="s">
        <v>121</v>
      </c>
      <c r="E1651" s="496">
        <v>1000</v>
      </c>
      <c r="F1651" s="325">
        <f t="shared" si="16"/>
        <v>1.7827155035636482</v>
      </c>
      <c r="G1651" s="326">
        <v>560.94200000000001</v>
      </c>
      <c r="H1651" s="182" t="s">
        <v>323</v>
      </c>
      <c r="I1651" s="182" t="s">
        <v>2671</v>
      </c>
      <c r="J1651" s="182" t="s">
        <v>98</v>
      </c>
      <c r="K1651" s="129" t="s">
        <v>1902</v>
      </c>
      <c r="L1651" s="182" t="s">
        <v>155</v>
      </c>
      <c r="M1651" s="436"/>
      <c r="N1651" s="436"/>
      <c r="O1651" s="450"/>
      <c r="P1651" s="450"/>
      <c r="Q1651" s="450"/>
    </row>
    <row r="1652" spans="1:17" ht="15.6">
      <c r="A1652" s="505">
        <v>45889</v>
      </c>
      <c r="B1652" s="182" t="s">
        <v>2691</v>
      </c>
      <c r="C1652" s="182" t="s">
        <v>2456</v>
      </c>
      <c r="D1652" s="182" t="s">
        <v>117</v>
      </c>
      <c r="E1652" s="435">
        <v>20000</v>
      </c>
      <c r="F1652" s="325">
        <f t="shared" si="16"/>
        <v>35.654310071272967</v>
      </c>
      <c r="G1652" s="326">
        <v>560.94200000000001</v>
      </c>
      <c r="H1652" s="182" t="s">
        <v>190</v>
      </c>
      <c r="I1652" s="182" t="s">
        <v>2712</v>
      </c>
      <c r="J1652" s="182" t="s">
        <v>98</v>
      </c>
      <c r="K1652" s="129" t="s">
        <v>1902</v>
      </c>
      <c r="L1652" s="182" t="s">
        <v>155</v>
      </c>
      <c r="M1652" s="436"/>
      <c r="N1652" s="436"/>
      <c r="O1652" s="450"/>
      <c r="P1652" s="450"/>
      <c r="Q1652" s="450"/>
    </row>
    <row r="1653" spans="1:17" ht="15.6">
      <c r="A1653" s="505">
        <v>45889</v>
      </c>
      <c r="B1653" s="182" t="s">
        <v>2692</v>
      </c>
      <c r="C1653" s="182" t="s">
        <v>174</v>
      </c>
      <c r="D1653" s="182" t="s">
        <v>117</v>
      </c>
      <c r="E1653" s="435">
        <v>1000</v>
      </c>
      <c r="F1653" s="325">
        <f t="shared" si="16"/>
        <v>1.7827155035636482</v>
      </c>
      <c r="G1653" s="326">
        <v>560.94200000000001</v>
      </c>
      <c r="H1653" s="182" t="s">
        <v>190</v>
      </c>
      <c r="I1653" s="182" t="s">
        <v>2707</v>
      </c>
      <c r="J1653" s="182" t="s">
        <v>98</v>
      </c>
      <c r="K1653" s="129" t="s">
        <v>1902</v>
      </c>
      <c r="L1653" s="182" t="s">
        <v>155</v>
      </c>
      <c r="M1653" s="436"/>
      <c r="N1653" s="436"/>
      <c r="O1653" s="450"/>
      <c r="P1653" s="450"/>
      <c r="Q1653" s="450"/>
    </row>
    <row r="1654" spans="1:17" ht="15.6">
      <c r="A1654" s="505">
        <v>45889</v>
      </c>
      <c r="B1654" s="182" t="s">
        <v>2693</v>
      </c>
      <c r="C1654" s="182" t="s">
        <v>174</v>
      </c>
      <c r="D1654" s="182" t="s">
        <v>117</v>
      </c>
      <c r="E1654" s="435">
        <v>1000</v>
      </c>
      <c r="F1654" s="325">
        <f t="shared" si="16"/>
        <v>1.7827155035636482</v>
      </c>
      <c r="G1654" s="326">
        <v>560.94200000000001</v>
      </c>
      <c r="H1654" s="182" t="s">
        <v>190</v>
      </c>
      <c r="I1654" s="182" t="s">
        <v>2707</v>
      </c>
      <c r="J1654" s="182" t="s">
        <v>98</v>
      </c>
      <c r="K1654" s="129" t="s">
        <v>1902</v>
      </c>
      <c r="L1654" s="182" t="s">
        <v>155</v>
      </c>
      <c r="M1654" s="436"/>
      <c r="N1654" s="436"/>
      <c r="O1654" s="450"/>
      <c r="P1654" s="450"/>
      <c r="Q1654" s="450"/>
    </row>
    <row r="1655" spans="1:17" ht="15.6">
      <c r="A1655" s="505">
        <v>45889</v>
      </c>
      <c r="B1655" s="182" t="s">
        <v>2694</v>
      </c>
      <c r="C1655" s="182" t="s">
        <v>174</v>
      </c>
      <c r="D1655" s="182" t="s">
        <v>117</v>
      </c>
      <c r="E1655" s="435">
        <v>1000</v>
      </c>
      <c r="F1655" s="325">
        <f t="shared" si="16"/>
        <v>1.7827155035636482</v>
      </c>
      <c r="G1655" s="326">
        <v>560.94200000000001</v>
      </c>
      <c r="H1655" s="182" t="s">
        <v>190</v>
      </c>
      <c r="I1655" s="182" t="s">
        <v>2707</v>
      </c>
      <c r="J1655" s="182" t="s">
        <v>98</v>
      </c>
      <c r="K1655" s="129" t="s">
        <v>1902</v>
      </c>
      <c r="L1655" s="182" t="s">
        <v>155</v>
      </c>
      <c r="M1655" s="436"/>
      <c r="N1655" s="436"/>
      <c r="O1655" s="450"/>
      <c r="P1655" s="450"/>
      <c r="Q1655" s="450"/>
    </row>
    <row r="1656" spans="1:17" ht="15.6">
      <c r="A1656" s="505">
        <v>45889</v>
      </c>
      <c r="B1656" s="182" t="s">
        <v>2695</v>
      </c>
      <c r="C1656" s="182" t="s">
        <v>313</v>
      </c>
      <c r="D1656" s="182" t="s">
        <v>117</v>
      </c>
      <c r="E1656" s="435">
        <v>7500</v>
      </c>
      <c r="F1656" s="325">
        <f t="shared" si="16"/>
        <v>13.370366276727362</v>
      </c>
      <c r="G1656" s="326">
        <v>560.94200000000001</v>
      </c>
      <c r="H1656" s="182" t="s">
        <v>190</v>
      </c>
      <c r="I1656" s="182" t="s">
        <v>2713</v>
      </c>
      <c r="J1656" s="182" t="s">
        <v>98</v>
      </c>
      <c r="K1656" s="129" t="s">
        <v>1902</v>
      </c>
      <c r="L1656" s="182" t="s">
        <v>155</v>
      </c>
      <c r="M1656" s="436"/>
      <c r="N1656" s="436"/>
      <c r="O1656" s="450"/>
      <c r="P1656" s="450"/>
      <c r="Q1656" s="450"/>
    </row>
    <row r="1657" spans="1:17" ht="15.6">
      <c r="A1657" s="505">
        <v>45889</v>
      </c>
      <c r="B1657" s="182" t="s">
        <v>2697</v>
      </c>
      <c r="C1657" s="182" t="s">
        <v>174</v>
      </c>
      <c r="D1657" s="182" t="s">
        <v>117</v>
      </c>
      <c r="E1657" s="435">
        <v>1000</v>
      </c>
      <c r="F1657" s="325">
        <f t="shared" si="16"/>
        <v>1.7827155035636482</v>
      </c>
      <c r="G1657" s="326">
        <v>560.94200000000001</v>
      </c>
      <c r="H1657" s="182" t="s">
        <v>190</v>
      </c>
      <c r="I1657" s="182" t="s">
        <v>2707</v>
      </c>
      <c r="J1657" s="182" t="s">
        <v>98</v>
      </c>
      <c r="K1657" s="129" t="s">
        <v>1902</v>
      </c>
      <c r="L1657" s="182" t="s">
        <v>155</v>
      </c>
      <c r="M1657" s="436"/>
      <c r="N1657" s="436"/>
      <c r="O1657" s="450"/>
      <c r="P1657" s="450"/>
      <c r="Q1657" s="450"/>
    </row>
    <row r="1658" spans="1:17" ht="15.6">
      <c r="A1658" s="505">
        <v>45889</v>
      </c>
      <c r="B1658" s="182" t="s">
        <v>2724</v>
      </c>
      <c r="C1658" s="182" t="s">
        <v>174</v>
      </c>
      <c r="D1658" s="182" t="s">
        <v>117</v>
      </c>
      <c r="E1658" s="435">
        <v>300</v>
      </c>
      <c r="F1658" s="325">
        <f t="shared" si="16"/>
        <v>0.53481465106909443</v>
      </c>
      <c r="G1658" s="326">
        <v>560.94200000000001</v>
      </c>
      <c r="H1658" s="182" t="s">
        <v>193</v>
      </c>
      <c r="I1658" s="182" t="s">
        <v>2753</v>
      </c>
      <c r="J1658" s="182" t="s">
        <v>98</v>
      </c>
      <c r="K1658" s="129" t="s">
        <v>1902</v>
      </c>
      <c r="L1658" s="182" t="s">
        <v>155</v>
      </c>
      <c r="M1658" s="436"/>
      <c r="N1658" s="436"/>
      <c r="O1658" s="450"/>
      <c r="P1658" s="450"/>
      <c r="Q1658" s="450"/>
    </row>
    <row r="1659" spans="1:17" ht="15.6">
      <c r="A1659" s="505">
        <v>45889</v>
      </c>
      <c r="B1659" s="182" t="s">
        <v>2729</v>
      </c>
      <c r="C1659" s="182" t="s">
        <v>313</v>
      </c>
      <c r="D1659" s="182" t="s">
        <v>117</v>
      </c>
      <c r="E1659" s="435">
        <v>1500</v>
      </c>
      <c r="F1659" s="325">
        <f t="shared" si="16"/>
        <v>2.6740732553454722</v>
      </c>
      <c r="G1659" s="326">
        <v>560.94200000000001</v>
      </c>
      <c r="H1659" s="182" t="s">
        <v>193</v>
      </c>
      <c r="I1659" s="182" t="s">
        <v>2757</v>
      </c>
      <c r="J1659" s="182" t="s">
        <v>98</v>
      </c>
      <c r="K1659" s="129" t="s">
        <v>1902</v>
      </c>
      <c r="L1659" s="182" t="s">
        <v>155</v>
      </c>
      <c r="M1659" s="436"/>
      <c r="N1659" s="436"/>
      <c r="O1659" s="450"/>
      <c r="P1659" s="450"/>
      <c r="Q1659" s="450"/>
    </row>
    <row r="1660" spans="1:17" ht="15.6">
      <c r="A1660" s="505">
        <v>45889</v>
      </c>
      <c r="B1660" s="182" t="s">
        <v>2726</v>
      </c>
      <c r="C1660" s="182" t="s">
        <v>174</v>
      </c>
      <c r="D1660" s="182" t="s">
        <v>117</v>
      </c>
      <c r="E1660" s="435">
        <v>300</v>
      </c>
      <c r="F1660" s="325">
        <f t="shared" si="16"/>
        <v>0.53481465106909443</v>
      </c>
      <c r="G1660" s="326">
        <v>560.94200000000001</v>
      </c>
      <c r="H1660" s="182" t="s">
        <v>193</v>
      </c>
      <c r="I1660" s="182" t="s">
        <v>2753</v>
      </c>
      <c r="J1660" s="182" t="s">
        <v>98</v>
      </c>
      <c r="K1660" s="129" t="s">
        <v>1902</v>
      </c>
      <c r="L1660" s="182" t="s">
        <v>155</v>
      </c>
      <c r="M1660" s="436"/>
      <c r="N1660" s="436"/>
      <c r="O1660" s="450"/>
      <c r="P1660" s="450"/>
      <c r="Q1660" s="450"/>
    </row>
    <row r="1661" spans="1:17" ht="15.6">
      <c r="A1661" s="505">
        <v>45889</v>
      </c>
      <c r="B1661" s="182" t="s">
        <v>2730</v>
      </c>
      <c r="C1661" s="182" t="s">
        <v>174</v>
      </c>
      <c r="D1661" s="182" t="s">
        <v>117</v>
      </c>
      <c r="E1661" s="435">
        <v>300</v>
      </c>
      <c r="F1661" s="325">
        <f t="shared" si="16"/>
        <v>0.53481465106909443</v>
      </c>
      <c r="G1661" s="326">
        <v>560.94200000000001</v>
      </c>
      <c r="H1661" s="182" t="s">
        <v>193</v>
      </c>
      <c r="I1661" s="182" t="s">
        <v>2753</v>
      </c>
      <c r="J1661" s="182" t="s">
        <v>98</v>
      </c>
      <c r="K1661" s="129" t="s">
        <v>1902</v>
      </c>
      <c r="L1661" s="182" t="s">
        <v>155</v>
      </c>
      <c r="M1661" s="436"/>
      <c r="N1661" s="436"/>
      <c r="O1661" s="450"/>
      <c r="P1661" s="450"/>
      <c r="Q1661" s="450"/>
    </row>
    <row r="1662" spans="1:17" ht="15.6">
      <c r="A1662" s="505">
        <v>45889</v>
      </c>
      <c r="B1662" s="182" t="s">
        <v>2731</v>
      </c>
      <c r="C1662" s="182" t="s">
        <v>174</v>
      </c>
      <c r="D1662" s="182" t="s">
        <v>117</v>
      </c>
      <c r="E1662" s="435">
        <v>300</v>
      </c>
      <c r="F1662" s="325">
        <f t="shared" si="16"/>
        <v>0.53481465106909443</v>
      </c>
      <c r="G1662" s="326">
        <v>560.94200000000001</v>
      </c>
      <c r="H1662" s="182" t="s">
        <v>193</v>
      </c>
      <c r="I1662" s="182" t="s">
        <v>2753</v>
      </c>
      <c r="J1662" s="182" t="s">
        <v>98</v>
      </c>
      <c r="K1662" s="129" t="s">
        <v>1902</v>
      </c>
      <c r="L1662" s="182" t="s">
        <v>155</v>
      </c>
      <c r="M1662" s="436"/>
      <c r="N1662" s="436"/>
      <c r="O1662" s="450"/>
      <c r="P1662" s="450"/>
      <c r="Q1662" s="450"/>
    </row>
    <row r="1663" spans="1:17" ht="15.6">
      <c r="A1663" s="505">
        <v>45889</v>
      </c>
      <c r="B1663" s="182" t="s">
        <v>2724</v>
      </c>
      <c r="C1663" s="182" t="s">
        <v>174</v>
      </c>
      <c r="D1663" s="182" t="s">
        <v>117</v>
      </c>
      <c r="E1663" s="435">
        <v>300</v>
      </c>
      <c r="F1663" s="325">
        <f t="shared" si="16"/>
        <v>0.53481465106909443</v>
      </c>
      <c r="G1663" s="326">
        <v>560.94200000000001</v>
      </c>
      <c r="H1663" s="182" t="s">
        <v>193</v>
      </c>
      <c r="I1663" s="182" t="s">
        <v>2753</v>
      </c>
      <c r="J1663" s="182" t="s">
        <v>98</v>
      </c>
      <c r="K1663" s="129" t="s">
        <v>1902</v>
      </c>
      <c r="L1663" s="182" t="s">
        <v>155</v>
      </c>
      <c r="M1663" s="436"/>
      <c r="N1663" s="436"/>
      <c r="O1663" s="450"/>
      <c r="P1663" s="450"/>
      <c r="Q1663" s="450"/>
    </row>
    <row r="1664" spans="1:17" ht="15.6">
      <c r="A1664" s="505">
        <v>45889</v>
      </c>
      <c r="B1664" s="182" t="s">
        <v>2732</v>
      </c>
      <c r="C1664" s="182" t="s">
        <v>313</v>
      </c>
      <c r="D1664" s="182" t="s">
        <v>117</v>
      </c>
      <c r="E1664" s="435">
        <v>1500</v>
      </c>
      <c r="F1664" s="325">
        <f t="shared" si="16"/>
        <v>2.6740732553454722</v>
      </c>
      <c r="G1664" s="326">
        <v>560.94200000000001</v>
      </c>
      <c r="H1664" s="182" t="s">
        <v>193</v>
      </c>
      <c r="I1664" s="182" t="s">
        <v>2757</v>
      </c>
      <c r="J1664" s="182" t="s">
        <v>98</v>
      </c>
      <c r="K1664" s="129" t="s">
        <v>1902</v>
      </c>
      <c r="L1664" s="182" t="s">
        <v>155</v>
      </c>
      <c r="M1664" s="436"/>
      <c r="N1664" s="436"/>
      <c r="O1664" s="450"/>
      <c r="P1664" s="450"/>
      <c r="Q1664" s="450"/>
    </row>
    <row r="1665" spans="1:17" ht="15.6">
      <c r="A1665" s="505">
        <v>45889</v>
      </c>
      <c r="B1665" s="182" t="s">
        <v>2726</v>
      </c>
      <c r="C1665" s="182" t="s">
        <v>174</v>
      </c>
      <c r="D1665" s="182" t="s">
        <v>117</v>
      </c>
      <c r="E1665" s="435">
        <v>300</v>
      </c>
      <c r="F1665" s="325">
        <f t="shared" si="16"/>
        <v>0.53481465106909443</v>
      </c>
      <c r="G1665" s="326">
        <v>560.94200000000001</v>
      </c>
      <c r="H1665" s="182" t="s">
        <v>193</v>
      </c>
      <c r="I1665" s="182" t="s">
        <v>2753</v>
      </c>
      <c r="J1665" s="182" t="s">
        <v>98</v>
      </c>
      <c r="K1665" s="129" t="s">
        <v>1902</v>
      </c>
      <c r="L1665" s="182" t="s">
        <v>155</v>
      </c>
      <c r="M1665" s="436"/>
      <c r="N1665" s="436"/>
      <c r="O1665" s="450"/>
      <c r="P1665" s="450"/>
      <c r="Q1665" s="450"/>
    </row>
    <row r="1666" spans="1:17" ht="15.6">
      <c r="A1666" s="505">
        <v>45889</v>
      </c>
      <c r="B1666" s="182" t="s">
        <v>2727</v>
      </c>
      <c r="C1666" s="182" t="s">
        <v>174</v>
      </c>
      <c r="D1666" s="182" t="s">
        <v>117</v>
      </c>
      <c r="E1666" s="435">
        <v>300</v>
      </c>
      <c r="F1666" s="325">
        <f t="shared" si="16"/>
        <v>0.53481465106909443</v>
      </c>
      <c r="G1666" s="326">
        <v>560.94200000000001</v>
      </c>
      <c r="H1666" s="182" t="s">
        <v>193</v>
      </c>
      <c r="I1666" s="182" t="s">
        <v>2753</v>
      </c>
      <c r="J1666" s="182" t="s">
        <v>98</v>
      </c>
      <c r="K1666" s="129" t="s">
        <v>1902</v>
      </c>
      <c r="L1666" s="182" t="s">
        <v>155</v>
      </c>
      <c r="M1666" s="436"/>
      <c r="N1666" s="436"/>
      <c r="O1666" s="450"/>
      <c r="P1666" s="450"/>
      <c r="Q1666" s="450"/>
    </row>
    <row r="1667" spans="1:17" ht="15.6">
      <c r="A1667" s="505">
        <v>45889</v>
      </c>
      <c r="B1667" s="182" t="s">
        <v>2873</v>
      </c>
      <c r="C1667" s="182" t="s">
        <v>174</v>
      </c>
      <c r="D1667" s="182" t="s">
        <v>117</v>
      </c>
      <c r="E1667" s="182">
        <v>3000</v>
      </c>
      <c r="F1667" s="325">
        <f t="shared" si="16"/>
        <v>5.3481465106909445</v>
      </c>
      <c r="G1667" s="326">
        <v>560.94200000000001</v>
      </c>
      <c r="H1667" s="182" t="s">
        <v>187</v>
      </c>
      <c r="I1667" s="182" t="s">
        <v>2880</v>
      </c>
      <c r="J1667" s="182" t="s">
        <v>98</v>
      </c>
      <c r="K1667" s="129" t="s">
        <v>1902</v>
      </c>
      <c r="L1667" s="182" t="s">
        <v>155</v>
      </c>
      <c r="M1667" s="436"/>
      <c r="N1667" s="436"/>
      <c r="O1667" s="450"/>
      <c r="P1667" s="450"/>
      <c r="Q1667" s="450"/>
    </row>
    <row r="1668" spans="1:17" ht="15.6">
      <c r="A1668" s="505">
        <v>45889</v>
      </c>
      <c r="B1668" s="182" t="s">
        <v>2872</v>
      </c>
      <c r="C1668" s="182" t="s">
        <v>174</v>
      </c>
      <c r="D1668" s="182" t="s">
        <v>117</v>
      </c>
      <c r="E1668" s="182">
        <v>1000</v>
      </c>
      <c r="F1668" s="325">
        <f t="shared" si="16"/>
        <v>1.7827155035636482</v>
      </c>
      <c r="G1668" s="326">
        <v>560.94200000000001</v>
      </c>
      <c r="H1668" s="182" t="s">
        <v>187</v>
      </c>
      <c r="I1668" s="182" t="s">
        <v>2880</v>
      </c>
      <c r="J1668" s="182" t="s">
        <v>98</v>
      </c>
      <c r="K1668" s="129" t="s">
        <v>1902</v>
      </c>
      <c r="L1668" s="182" t="s">
        <v>155</v>
      </c>
      <c r="M1668" s="436"/>
      <c r="N1668" s="436"/>
      <c r="O1668" s="450"/>
      <c r="P1668" s="450"/>
      <c r="Q1668" s="450"/>
    </row>
    <row r="1669" spans="1:17" ht="15.6">
      <c r="A1669" s="505">
        <v>45889</v>
      </c>
      <c r="B1669" s="182" t="s">
        <v>2874</v>
      </c>
      <c r="C1669" s="182" t="s">
        <v>174</v>
      </c>
      <c r="D1669" s="182" t="s">
        <v>117</v>
      </c>
      <c r="E1669" s="182">
        <v>1500</v>
      </c>
      <c r="F1669" s="325">
        <f t="shared" si="16"/>
        <v>2.6740732553454722</v>
      </c>
      <c r="G1669" s="326">
        <v>560.94200000000001</v>
      </c>
      <c r="H1669" s="182" t="s">
        <v>187</v>
      </c>
      <c r="I1669" s="182" t="s">
        <v>2880</v>
      </c>
      <c r="J1669" s="182" t="s">
        <v>98</v>
      </c>
      <c r="K1669" s="129" t="s">
        <v>1902</v>
      </c>
      <c r="L1669" s="182" t="s">
        <v>155</v>
      </c>
      <c r="M1669" s="436"/>
      <c r="N1669" s="436"/>
      <c r="O1669" s="450"/>
      <c r="P1669" s="450"/>
      <c r="Q1669" s="450"/>
    </row>
    <row r="1670" spans="1:17" ht="15.6">
      <c r="A1670" s="505">
        <v>45889</v>
      </c>
      <c r="B1670" s="182" t="s">
        <v>2875</v>
      </c>
      <c r="C1670" s="182" t="s">
        <v>174</v>
      </c>
      <c r="D1670" s="182" t="s">
        <v>117</v>
      </c>
      <c r="E1670" s="182">
        <v>1500</v>
      </c>
      <c r="F1670" s="325">
        <f t="shared" si="16"/>
        <v>2.6740732553454722</v>
      </c>
      <c r="G1670" s="326">
        <v>560.94200000000001</v>
      </c>
      <c r="H1670" s="182" t="s">
        <v>187</v>
      </c>
      <c r="I1670" s="182" t="s">
        <v>2880</v>
      </c>
      <c r="J1670" s="182" t="s">
        <v>98</v>
      </c>
      <c r="K1670" s="129" t="s">
        <v>1902</v>
      </c>
      <c r="L1670" s="182" t="s">
        <v>155</v>
      </c>
      <c r="M1670" s="436"/>
      <c r="N1670" s="436"/>
      <c r="O1670" s="450"/>
      <c r="P1670" s="450"/>
      <c r="Q1670" s="450"/>
    </row>
    <row r="1671" spans="1:17" ht="15.6">
      <c r="A1671" s="535">
        <v>45890</v>
      </c>
      <c r="B1671" s="517" t="s">
        <v>2099</v>
      </c>
      <c r="C1671" s="308" t="s">
        <v>174</v>
      </c>
      <c r="D1671" s="308" t="s">
        <v>119</v>
      </c>
      <c r="E1671" s="517">
        <v>1000</v>
      </c>
      <c r="F1671" s="325">
        <f t="shared" si="16"/>
        <v>1.7827155035636482</v>
      </c>
      <c r="G1671" s="326">
        <v>560.94200000000001</v>
      </c>
      <c r="H1671" s="524" t="s">
        <v>153</v>
      </c>
      <c r="I1671" s="525" t="s">
        <v>2494</v>
      </c>
      <c r="J1671" s="182" t="s">
        <v>98</v>
      </c>
      <c r="K1671" s="129" t="s">
        <v>1902</v>
      </c>
      <c r="L1671" s="182" t="s">
        <v>155</v>
      </c>
      <c r="M1671" s="512"/>
      <c r="N1671" s="512"/>
      <c r="O1671" s="450"/>
      <c r="P1671" s="450"/>
      <c r="Q1671" s="450"/>
    </row>
    <row r="1672" spans="1:17" ht="15.6">
      <c r="A1672" s="535">
        <v>45890</v>
      </c>
      <c r="B1672" s="517" t="s">
        <v>2100</v>
      </c>
      <c r="C1672" s="308" t="s">
        <v>174</v>
      </c>
      <c r="D1672" s="308" t="s">
        <v>119</v>
      </c>
      <c r="E1672" s="517">
        <v>1000</v>
      </c>
      <c r="F1672" s="325">
        <f t="shared" si="16"/>
        <v>1.7827155035636482</v>
      </c>
      <c r="G1672" s="326">
        <v>560.94200000000001</v>
      </c>
      <c r="H1672" s="524" t="s">
        <v>153</v>
      </c>
      <c r="I1672" s="525" t="s">
        <v>2494</v>
      </c>
      <c r="J1672" s="182" t="s">
        <v>98</v>
      </c>
      <c r="K1672" s="129" t="s">
        <v>1902</v>
      </c>
      <c r="L1672" s="182" t="s">
        <v>155</v>
      </c>
      <c r="M1672" s="512"/>
      <c r="N1672" s="512"/>
      <c r="O1672" s="450"/>
      <c r="P1672" s="450"/>
      <c r="Q1672" s="450"/>
    </row>
    <row r="1673" spans="1:17" ht="15.6">
      <c r="A1673" s="504">
        <v>45890</v>
      </c>
      <c r="B1673" s="182" t="s">
        <v>2153</v>
      </c>
      <c r="C1673" s="182" t="s">
        <v>174</v>
      </c>
      <c r="D1673" s="182" t="s">
        <v>118</v>
      </c>
      <c r="E1673" s="435">
        <v>1000</v>
      </c>
      <c r="F1673" s="325">
        <f t="shared" si="16"/>
        <v>1.7827155035636482</v>
      </c>
      <c r="G1673" s="326">
        <v>560.94200000000001</v>
      </c>
      <c r="H1673" s="182" t="s">
        <v>583</v>
      </c>
      <c r="I1673" s="182" t="s">
        <v>2536</v>
      </c>
      <c r="J1673" s="182" t="s">
        <v>98</v>
      </c>
      <c r="K1673" s="129" t="s">
        <v>1902</v>
      </c>
      <c r="L1673" s="182" t="s">
        <v>155</v>
      </c>
      <c r="M1673" s="512"/>
      <c r="N1673" s="512"/>
      <c r="O1673" s="450"/>
      <c r="P1673" s="450"/>
      <c r="Q1673" s="450"/>
    </row>
    <row r="1674" spans="1:17" ht="15.6">
      <c r="A1674" s="504">
        <v>45890</v>
      </c>
      <c r="B1674" s="182" t="s">
        <v>2154</v>
      </c>
      <c r="C1674" s="182" t="s">
        <v>174</v>
      </c>
      <c r="D1674" s="182" t="s">
        <v>118</v>
      </c>
      <c r="E1674" s="435">
        <v>1000</v>
      </c>
      <c r="F1674" s="325">
        <f t="shared" si="16"/>
        <v>1.7827155035636482</v>
      </c>
      <c r="G1674" s="326">
        <v>560.94200000000001</v>
      </c>
      <c r="H1674" s="182" t="s">
        <v>583</v>
      </c>
      <c r="I1674" s="182" t="s">
        <v>2536</v>
      </c>
      <c r="J1674" s="182" t="s">
        <v>98</v>
      </c>
      <c r="K1674" s="129" t="s">
        <v>1902</v>
      </c>
      <c r="L1674" s="182" t="s">
        <v>155</v>
      </c>
      <c r="M1674" s="512"/>
      <c r="N1674" s="512"/>
      <c r="O1674" s="450"/>
      <c r="P1674" s="450"/>
      <c r="Q1674" s="450"/>
    </row>
    <row r="1675" spans="1:17" ht="15.6">
      <c r="A1675" s="467">
        <v>45890</v>
      </c>
      <c r="B1675" s="177" t="s">
        <v>3039</v>
      </c>
      <c r="C1675" s="177" t="s">
        <v>174</v>
      </c>
      <c r="D1675" s="177" t="s">
        <v>121</v>
      </c>
      <c r="E1675" s="177">
        <v>1000</v>
      </c>
      <c r="F1675" s="325">
        <f t="shared" si="16"/>
        <v>1.7827155035636482</v>
      </c>
      <c r="G1675" s="326">
        <v>560.94200000000001</v>
      </c>
      <c r="H1675" s="177" t="s">
        <v>184</v>
      </c>
      <c r="I1675" s="177" t="s">
        <v>2558</v>
      </c>
      <c r="J1675" s="182" t="s">
        <v>98</v>
      </c>
      <c r="K1675" s="129" t="s">
        <v>1902</v>
      </c>
      <c r="L1675" s="182" t="s">
        <v>155</v>
      </c>
      <c r="M1675" s="436"/>
      <c r="N1675" s="436"/>
      <c r="O1675" s="450"/>
      <c r="P1675" s="450"/>
      <c r="Q1675" s="450"/>
    </row>
    <row r="1676" spans="1:17" ht="15.6">
      <c r="A1676" s="467">
        <v>45890</v>
      </c>
      <c r="B1676" s="177" t="s">
        <v>3041</v>
      </c>
      <c r="C1676" s="177" t="s">
        <v>174</v>
      </c>
      <c r="D1676" s="177" t="s">
        <v>121</v>
      </c>
      <c r="E1676" s="177">
        <v>1000</v>
      </c>
      <c r="F1676" s="325">
        <f t="shared" si="16"/>
        <v>1.7827155035636482</v>
      </c>
      <c r="G1676" s="326">
        <v>560.94200000000001</v>
      </c>
      <c r="H1676" s="177" t="s">
        <v>184</v>
      </c>
      <c r="I1676" s="177" t="s">
        <v>2558</v>
      </c>
      <c r="J1676" s="182" t="s">
        <v>98</v>
      </c>
      <c r="K1676" s="129" t="s">
        <v>1902</v>
      </c>
      <c r="L1676" s="182" t="s">
        <v>155</v>
      </c>
      <c r="M1676" s="436"/>
      <c r="N1676" s="436"/>
      <c r="O1676" s="450"/>
      <c r="P1676" s="450"/>
      <c r="Q1676" s="450"/>
    </row>
    <row r="1677" spans="1:17" ht="15.6">
      <c r="A1677" s="467">
        <v>45890</v>
      </c>
      <c r="B1677" s="177" t="s">
        <v>3037</v>
      </c>
      <c r="C1677" s="177" t="s">
        <v>174</v>
      </c>
      <c r="D1677" s="177" t="s">
        <v>121</v>
      </c>
      <c r="E1677" s="177">
        <v>500</v>
      </c>
      <c r="F1677" s="325">
        <f t="shared" si="16"/>
        <v>0.89135775178182408</v>
      </c>
      <c r="G1677" s="326">
        <v>560.94200000000001</v>
      </c>
      <c r="H1677" s="177" t="s">
        <v>184</v>
      </c>
      <c r="I1677" s="177" t="s">
        <v>2558</v>
      </c>
      <c r="J1677" s="182" t="s">
        <v>98</v>
      </c>
      <c r="K1677" s="129" t="s">
        <v>1902</v>
      </c>
      <c r="L1677" s="182" t="s">
        <v>155</v>
      </c>
      <c r="M1677" s="436"/>
      <c r="N1677" s="436"/>
      <c r="O1677" s="450"/>
      <c r="P1677" s="450"/>
      <c r="Q1677" s="450"/>
    </row>
    <row r="1678" spans="1:17" ht="15.6">
      <c r="A1678" s="467">
        <v>45890</v>
      </c>
      <c r="B1678" s="177" t="s">
        <v>3041</v>
      </c>
      <c r="C1678" s="177" t="s">
        <v>174</v>
      </c>
      <c r="D1678" s="177" t="s">
        <v>121</v>
      </c>
      <c r="E1678" s="177">
        <v>1000</v>
      </c>
      <c r="F1678" s="325">
        <f t="shared" si="16"/>
        <v>1.7827155035636482</v>
      </c>
      <c r="G1678" s="326">
        <v>560.94200000000001</v>
      </c>
      <c r="H1678" s="177" t="s">
        <v>184</v>
      </c>
      <c r="I1678" s="177" t="s">
        <v>2558</v>
      </c>
      <c r="J1678" s="182" t="s">
        <v>98</v>
      </c>
      <c r="K1678" s="129" t="s">
        <v>1902</v>
      </c>
      <c r="L1678" s="182" t="s">
        <v>155</v>
      </c>
      <c r="M1678" s="436"/>
      <c r="N1678" s="436"/>
      <c r="O1678" s="450"/>
      <c r="P1678" s="450"/>
      <c r="Q1678" s="450"/>
    </row>
    <row r="1679" spans="1:17" ht="15.6">
      <c r="A1679" s="505">
        <v>45890</v>
      </c>
      <c r="B1679" s="182" t="s">
        <v>3042</v>
      </c>
      <c r="C1679" s="182" t="s">
        <v>174</v>
      </c>
      <c r="D1679" s="177" t="s">
        <v>121</v>
      </c>
      <c r="E1679" s="182">
        <v>500</v>
      </c>
      <c r="F1679" s="325">
        <f t="shared" si="16"/>
        <v>0.89135775178182408</v>
      </c>
      <c r="G1679" s="326">
        <v>560.94200000000001</v>
      </c>
      <c r="H1679" s="182" t="s">
        <v>175</v>
      </c>
      <c r="I1679" s="182" t="s">
        <v>2588</v>
      </c>
      <c r="J1679" s="182" t="s">
        <v>98</v>
      </c>
      <c r="K1679" s="129" t="s">
        <v>1902</v>
      </c>
      <c r="L1679" s="182" t="s">
        <v>155</v>
      </c>
      <c r="M1679" s="436"/>
      <c r="N1679" s="436"/>
      <c r="O1679" s="450"/>
      <c r="P1679" s="450"/>
      <c r="Q1679" s="450"/>
    </row>
    <row r="1680" spans="1:17" ht="15.6">
      <c r="A1680" s="505">
        <v>45890</v>
      </c>
      <c r="B1680" s="182" t="s">
        <v>3083</v>
      </c>
      <c r="C1680" s="182" t="s">
        <v>174</v>
      </c>
      <c r="D1680" s="177" t="s">
        <v>121</v>
      </c>
      <c r="E1680" s="182">
        <v>500</v>
      </c>
      <c r="F1680" s="325">
        <f t="shared" si="16"/>
        <v>0.89135775178182408</v>
      </c>
      <c r="G1680" s="326">
        <v>560.94200000000001</v>
      </c>
      <c r="H1680" s="182" t="s">
        <v>175</v>
      </c>
      <c r="I1680" s="182" t="s">
        <v>2588</v>
      </c>
      <c r="J1680" s="182" t="s">
        <v>98</v>
      </c>
      <c r="K1680" s="129" t="s">
        <v>1902</v>
      </c>
      <c r="L1680" s="182" t="s">
        <v>155</v>
      </c>
      <c r="M1680" s="436"/>
      <c r="N1680" s="436"/>
      <c r="O1680" s="450"/>
      <c r="P1680" s="450"/>
      <c r="Q1680" s="450"/>
    </row>
    <row r="1681" spans="1:17" ht="15.6">
      <c r="A1681" s="505">
        <v>45890</v>
      </c>
      <c r="B1681" s="182" t="s">
        <v>3067</v>
      </c>
      <c r="C1681" s="182" t="s">
        <v>177</v>
      </c>
      <c r="D1681" s="182" t="s">
        <v>121</v>
      </c>
      <c r="E1681" s="182">
        <v>30000</v>
      </c>
      <c r="F1681" s="325">
        <f t="shared" si="16"/>
        <v>53.481465106909447</v>
      </c>
      <c r="G1681" s="326">
        <v>560.94200000000001</v>
      </c>
      <c r="H1681" s="182" t="s">
        <v>317</v>
      </c>
      <c r="I1681" s="182" t="s">
        <v>2641</v>
      </c>
      <c r="J1681" s="182" t="s">
        <v>98</v>
      </c>
      <c r="K1681" s="129" t="s">
        <v>1902</v>
      </c>
      <c r="L1681" s="182" t="s">
        <v>155</v>
      </c>
      <c r="M1681" s="436"/>
      <c r="N1681" s="436"/>
      <c r="O1681" s="450"/>
      <c r="P1681" s="450"/>
      <c r="Q1681" s="450"/>
    </row>
    <row r="1682" spans="1:17" ht="15.6">
      <c r="A1682" s="505">
        <v>45890</v>
      </c>
      <c r="B1682" s="182" t="s">
        <v>3005</v>
      </c>
      <c r="C1682" s="182" t="s">
        <v>174</v>
      </c>
      <c r="D1682" s="182" t="s">
        <v>121</v>
      </c>
      <c r="E1682" s="182">
        <v>500</v>
      </c>
      <c r="F1682" s="325">
        <f t="shared" si="16"/>
        <v>0.89135775178182408</v>
      </c>
      <c r="G1682" s="326">
        <v>560.94200000000001</v>
      </c>
      <c r="H1682" s="182" t="s">
        <v>317</v>
      </c>
      <c r="I1682" s="182" t="s">
        <v>2632</v>
      </c>
      <c r="J1682" s="182" t="s">
        <v>98</v>
      </c>
      <c r="K1682" s="129" t="s">
        <v>1902</v>
      </c>
      <c r="L1682" s="182" t="s">
        <v>155</v>
      </c>
      <c r="M1682" s="436"/>
      <c r="N1682" s="436"/>
      <c r="O1682" s="450"/>
      <c r="P1682" s="450"/>
      <c r="Q1682" s="450"/>
    </row>
    <row r="1683" spans="1:17" ht="15.6">
      <c r="A1683" s="505">
        <v>45890</v>
      </c>
      <c r="B1683" s="182" t="s">
        <v>3064</v>
      </c>
      <c r="C1683" s="182" t="s">
        <v>174</v>
      </c>
      <c r="D1683" s="182" t="s">
        <v>121</v>
      </c>
      <c r="E1683" s="182">
        <v>4000</v>
      </c>
      <c r="F1683" s="325">
        <f t="shared" si="16"/>
        <v>7.1308620142545927</v>
      </c>
      <c r="G1683" s="326">
        <v>560.94200000000001</v>
      </c>
      <c r="H1683" s="182" t="s">
        <v>317</v>
      </c>
      <c r="I1683" s="182" t="s">
        <v>2642</v>
      </c>
      <c r="J1683" s="182" t="s">
        <v>98</v>
      </c>
      <c r="K1683" s="129" t="s">
        <v>1902</v>
      </c>
      <c r="L1683" s="182" t="s">
        <v>155</v>
      </c>
      <c r="M1683" s="436"/>
      <c r="N1683" s="436"/>
      <c r="O1683" s="450"/>
      <c r="P1683" s="450"/>
      <c r="Q1683" s="450"/>
    </row>
    <row r="1684" spans="1:17" ht="15.6">
      <c r="A1684" s="505">
        <v>45890</v>
      </c>
      <c r="B1684" s="182" t="s">
        <v>3005</v>
      </c>
      <c r="C1684" s="182" t="s">
        <v>174</v>
      </c>
      <c r="D1684" s="182" t="s">
        <v>121</v>
      </c>
      <c r="E1684" s="182">
        <v>500</v>
      </c>
      <c r="F1684" s="325">
        <f t="shared" si="16"/>
        <v>0.89135775178182408</v>
      </c>
      <c r="G1684" s="326">
        <v>560.94200000000001</v>
      </c>
      <c r="H1684" s="182" t="s">
        <v>317</v>
      </c>
      <c r="I1684" s="182" t="s">
        <v>2632</v>
      </c>
      <c r="J1684" s="182" t="s">
        <v>98</v>
      </c>
      <c r="K1684" s="129" t="s">
        <v>1902</v>
      </c>
      <c r="L1684" s="182" t="s">
        <v>155</v>
      </c>
      <c r="M1684" s="436"/>
      <c r="N1684" s="436"/>
      <c r="O1684" s="450"/>
      <c r="P1684" s="450"/>
      <c r="Q1684" s="450"/>
    </row>
    <row r="1685" spans="1:17" ht="15.6">
      <c r="A1685" s="505">
        <v>45890</v>
      </c>
      <c r="B1685" s="182" t="s">
        <v>3005</v>
      </c>
      <c r="C1685" s="182" t="s">
        <v>174</v>
      </c>
      <c r="D1685" s="182" t="s">
        <v>121</v>
      </c>
      <c r="E1685" s="182">
        <v>500</v>
      </c>
      <c r="F1685" s="325">
        <f t="shared" si="16"/>
        <v>0.89135775178182408</v>
      </c>
      <c r="G1685" s="326">
        <v>560.94200000000001</v>
      </c>
      <c r="H1685" s="182" t="s">
        <v>317</v>
      </c>
      <c r="I1685" s="182" t="s">
        <v>2632</v>
      </c>
      <c r="J1685" s="182" t="s">
        <v>98</v>
      </c>
      <c r="K1685" s="129" t="s">
        <v>1902</v>
      </c>
      <c r="L1685" s="182" t="s">
        <v>155</v>
      </c>
      <c r="M1685" s="436"/>
      <c r="N1685" s="436"/>
      <c r="O1685" s="450"/>
      <c r="P1685" s="450"/>
      <c r="Q1685" s="450"/>
    </row>
    <row r="1686" spans="1:17" ht="15.6">
      <c r="A1686" s="505">
        <v>45890</v>
      </c>
      <c r="B1686" s="182" t="s">
        <v>3005</v>
      </c>
      <c r="C1686" s="182" t="s">
        <v>174</v>
      </c>
      <c r="D1686" s="182" t="s">
        <v>121</v>
      </c>
      <c r="E1686" s="182">
        <v>500</v>
      </c>
      <c r="F1686" s="325">
        <f t="shared" si="16"/>
        <v>0.89135775178182408</v>
      </c>
      <c r="G1686" s="326">
        <v>560.94200000000001</v>
      </c>
      <c r="H1686" s="182" t="s">
        <v>317</v>
      </c>
      <c r="I1686" s="182" t="s">
        <v>2632</v>
      </c>
      <c r="J1686" s="182" t="s">
        <v>98</v>
      </c>
      <c r="K1686" s="129" t="s">
        <v>1902</v>
      </c>
      <c r="L1686" s="182" t="s">
        <v>155</v>
      </c>
      <c r="M1686" s="436"/>
      <c r="N1686" s="436"/>
      <c r="O1686" s="450"/>
      <c r="P1686" s="450"/>
      <c r="Q1686" s="450"/>
    </row>
    <row r="1687" spans="1:17" ht="15.6">
      <c r="A1687" s="505">
        <v>45890</v>
      </c>
      <c r="B1687" s="182" t="s">
        <v>3005</v>
      </c>
      <c r="C1687" s="182" t="s">
        <v>174</v>
      </c>
      <c r="D1687" s="182" t="s">
        <v>121</v>
      </c>
      <c r="E1687" s="182">
        <v>500</v>
      </c>
      <c r="F1687" s="325">
        <f t="shared" si="16"/>
        <v>0.89135775178182408</v>
      </c>
      <c r="G1687" s="326">
        <v>560.94200000000001</v>
      </c>
      <c r="H1687" s="182" t="s">
        <v>317</v>
      </c>
      <c r="I1687" s="182" t="s">
        <v>2632</v>
      </c>
      <c r="J1687" s="182" t="s">
        <v>98</v>
      </c>
      <c r="K1687" s="129" t="s">
        <v>1902</v>
      </c>
      <c r="L1687" s="182" t="s">
        <v>155</v>
      </c>
      <c r="M1687" s="436"/>
      <c r="N1687" s="436"/>
      <c r="O1687" s="450"/>
      <c r="P1687" s="450"/>
      <c r="Q1687" s="450"/>
    </row>
    <row r="1688" spans="1:17" ht="15.6">
      <c r="A1688" s="505">
        <v>45890</v>
      </c>
      <c r="B1688" s="182" t="s">
        <v>3060</v>
      </c>
      <c r="C1688" s="182" t="s">
        <v>174</v>
      </c>
      <c r="D1688" s="182" t="s">
        <v>121</v>
      </c>
      <c r="E1688" s="496">
        <v>1000</v>
      </c>
      <c r="F1688" s="325">
        <f t="shared" si="16"/>
        <v>1.7827155035636482</v>
      </c>
      <c r="G1688" s="326">
        <v>560.94200000000001</v>
      </c>
      <c r="H1688" s="182" t="s">
        <v>323</v>
      </c>
      <c r="I1688" s="182" t="s">
        <v>2671</v>
      </c>
      <c r="J1688" s="182" t="s">
        <v>98</v>
      </c>
      <c r="K1688" s="129" t="s">
        <v>1902</v>
      </c>
      <c r="L1688" s="182" t="s">
        <v>155</v>
      </c>
      <c r="M1688" s="436"/>
      <c r="N1688" s="436"/>
      <c r="O1688" s="450"/>
      <c r="P1688" s="450"/>
      <c r="Q1688" s="450"/>
    </row>
    <row r="1689" spans="1:17" ht="15.6">
      <c r="A1689" s="505">
        <v>45890</v>
      </c>
      <c r="B1689" s="182" t="s">
        <v>2664</v>
      </c>
      <c r="C1689" s="182" t="s">
        <v>368</v>
      </c>
      <c r="D1689" s="182" t="s">
        <v>121</v>
      </c>
      <c r="E1689" s="496">
        <v>1000</v>
      </c>
      <c r="F1689" s="325">
        <f t="shared" si="16"/>
        <v>1.7827155035636482</v>
      </c>
      <c r="G1689" s="326">
        <v>560.94200000000001</v>
      </c>
      <c r="H1689" s="182" t="s">
        <v>323</v>
      </c>
      <c r="I1689" s="182" t="s">
        <v>2678</v>
      </c>
      <c r="J1689" s="182" t="s">
        <v>98</v>
      </c>
      <c r="K1689" s="129" t="s">
        <v>1902</v>
      </c>
      <c r="L1689" s="182" t="s">
        <v>155</v>
      </c>
      <c r="M1689" s="436"/>
      <c r="N1689" s="436"/>
      <c r="O1689" s="450"/>
      <c r="P1689" s="450"/>
      <c r="Q1689" s="450"/>
    </row>
    <row r="1690" spans="1:17" ht="15.6">
      <c r="A1690" s="505">
        <v>45890</v>
      </c>
      <c r="B1690" s="182" t="s">
        <v>3060</v>
      </c>
      <c r="C1690" s="182" t="s">
        <v>174</v>
      </c>
      <c r="D1690" s="182" t="s">
        <v>121</v>
      </c>
      <c r="E1690" s="496">
        <v>1000</v>
      </c>
      <c r="F1690" s="325">
        <f t="shared" si="16"/>
        <v>1.7827155035636482</v>
      </c>
      <c r="G1690" s="326">
        <v>560.94200000000001</v>
      </c>
      <c r="H1690" s="182" t="s">
        <v>323</v>
      </c>
      <c r="I1690" s="182" t="s">
        <v>2671</v>
      </c>
      <c r="J1690" s="182" t="s">
        <v>98</v>
      </c>
      <c r="K1690" s="129" t="s">
        <v>1902</v>
      </c>
      <c r="L1690" s="182" t="s">
        <v>155</v>
      </c>
      <c r="M1690" s="436"/>
      <c r="N1690" s="436"/>
      <c r="O1690" s="450"/>
      <c r="P1690" s="450"/>
      <c r="Q1690" s="450"/>
    </row>
    <row r="1691" spans="1:17" ht="15.6">
      <c r="A1691" s="505">
        <v>45890</v>
      </c>
      <c r="B1691" s="182" t="s">
        <v>3044</v>
      </c>
      <c r="C1691" s="182" t="s">
        <v>174</v>
      </c>
      <c r="D1691" s="182" t="s">
        <v>121</v>
      </c>
      <c r="E1691" s="496">
        <v>1000</v>
      </c>
      <c r="F1691" s="325">
        <f t="shared" si="16"/>
        <v>1.7827155035636482</v>
      </c>
      <c r="G1691" s="326">
        <v>560.94200000000001</v>
      </c>
      <c r="H1691" s="182" t="s">
        <v>323</v>
      </c>
      <c r="I1691" s="182" t="s">
        <v>2671</v>
      </c>
      <c r="J1691" s="182" t="s">
        <v>98</v>
      </c>
      <c r="K1691" s="129" t="s">
        <v>1902</v>
      </c>
      <c r="L1691" s="182" t="s">
        <v>155</v>
      </c>
      <c r="M1691" s="436"/>
      <c r="N1691" s="436"/>
      <c r="O1691" s="450"/>
      <c r="P1691" s="450"/>
      <c r="Q1691" s="450"/>
    </row>
    <row r="1692" spans="1:17" ht="15.6">
      <c r="A1692" s="505">
        <v>45890</v>
      </c>
      <c r="B1692" s="182" t="s">
        <v>2698</v>
      </c>
      <c r="C1692" s="182" t="s">
        <v>174</v>
      </c>
      <c r="D1692" s="182" t="s">
        <v>117</v>
      </c>
      <c r="E1692" s="435">
        <v>1000</v>
      </c>
      <c r="F1692" s="325">
        <f t="shared" si="16"/>
        <v>1.7827155035636482</v>
      </c>
      <c r="G1692" s="326">
        <v>560.94200000000001</v>
      </c>
      <c r="H1692" s="182" t="s">
        <v>190</v>
      </c>
      <c r="I1692" s="182" t="s">
        <v>2707</v>
      </c>
      <c r="J1692" s="182" t="s">
        <v>98</v>
      </c>
      <c r="K1692" s="129" t="s">
        <v>1902</v>
      </c>
      <c r="L1692" s="182" t="s">
        <v>155</v>
      </c>
      <c r="M1692" s="436"/>
      <c r="N1692" s="436"/>
      <c r="O1692" s="450"/>
      <c r="P1692" s="450"/>
      <c r="Q1692" s="450"/>
    </row>
    <row r="1693" spans="1:17" ht="15.6">
      <c r="A1693" s="505">
        <v>45890</v>
      </c>
      <c r="B1693" s="182" t="s">
        <v>2699</v>
      </c>
      <c r="C1693" s="182" t="s">
        <v>313</v>
      </c>
      <c r="D1693" s="182" t="s">
        <v>117</v>
      </c>
      <c r="E1693" s="435">
        <v>7500</v>
      </c>
      <c r="F1693" s="325">
        <f t="shared" si="16"/>
        <v>13.370366276727362</v>
      </c>
      <c r="G1693" s="326">
        <v>560.94200000000001</v>
      </c>
      <c r="H1693" s="182" t="s">
        <v>190</v>
      </c>
      <c r="I1693" s="182" t="s">
        <v>2713</v>
      </c>
      <c r="J1693" s="182" t="s">
        <v>98</v>
      </c>
      <c r="K1693" s="129" t="s">
        <v>1902</v>
      </c>
      <c r="L1693" s="182" t="s">
        <v>155</v>
      </c>
      <c r="M1693" s="436"/>
      <c r="N1693" s="436"/>
      <c r="O1693" s="450"/>
      <c r="P1693" s="450"/>
      <c r="Q1693" s="450"/>
    </row>
    <row r="1694" spans="1:17" ht="15.6">
      <c r="A1694" s="505">
        <v>45890</v>
      </c>
      <c r="B1694" s="182" t="s">
        <v>2697</v>
      </c>
      <c r="C1694" s="182" t="s">
        <v>174</v>
      </c>
      <c r="D1694" s="182" t="s">
        <v>117</v>
      </c>
      <c r="E1694" s="435">
        <v>1000</v>
      </c>
      <c r="F1694" s="325">
        <f t="shared" si="16"/>
        <v>1.7827155035636482</v>
      </c>
      <c r="G1694" s="326">
        <v>560.94200000000001</v>
      </c>
      <c r="H1694" s="182" t="s">
        <v>190</v>
      </c>
      <c r="I1694" s="182" t="s">
        <v>2707</v>
      </c>
      <c r="J1694" s="182" t="s">
        <v>98</v>
      </c>
      <c r="K1694" s="129" t="s">
        <v>1902</v>
      </c>
      <c r="L1694" s="182" t="s">
        <v>155</v>
      </c>
      <c r="M1694" s="436"/>
      <c r="N1694" s="436"/>
      <c r="O1694" s="450"/>
      <c r="P1694" s="450"/>
      <c r="Q1694" s="450"/>
    </row>
    <row r="1695" spans="1:17" ht="15.6">
      <c r="A1695" s="505">
        <v>45890</v>
      </c>
      <c r="B1695" s="182" t="s">
        <v>2698</v>
      </c>
      <c r="C1695" s="182" t="s">
        <v>174</v>
      </c>
      <c r="D1695" s="182" t="s">
        <v>117</v>
      </c>
      <c r="E1695" s="435">
        <v>1000</v>
      </c>
      <c r="F1695" s="325">
        <f t="shared" si="16"/>
        <v>1.7827155035636482</v>
      </c>
      <c r="G1695" s="326">
        <v>560.94200000000001</v>
      </c>
      <c r="H1695" s="182" t="s">
        <v>190</v>
      </c>
      <c r="I1695" s="182" t="s">
        <v>2707</v>
      </c>
      <c r="J1695" s="182" t="s">
        <v>98</v>
      </c>
      <c r="K1695" s="129" t="s">
        <v>1902</v>
      </c>
      <c r="L1695" s="182" t="s">
        <v>155</v>
      </c>
      <c r="M1695" s="436"/>
      <c r="N1695" s="436"/>
      <c r="O1695" s="450"/>
      <c r="P1695" s="450"/>
      <c r="Q1695" s="450"/>
    </row>
    <row r="1696" spans="1:17" ht="15.6">
      <c r="A1696" s="505">
        <v>45890</v>
      </c>
      <c r="B1696" s="182" t="s">
        <v>2700</v>
      </c>
      <c r="C1696" s="182" t="s">
        <v>313</v>
      </c>
      <c r="D1696" s="182" t="s">
        <v>117</v>
      </c>
      <c r="E1696" s="435">
        <v>7500</v>
      </c>
      <c r="F1696" s="325">
        <f t="shared" si="16"/>
        <v>13.370366276727362</v>
      </c>
      <c r="G1696" s="326">
        <v>560.94200000000001</v>
      </c>
      <c r="H1696" s="182" t="s">
        <v>190</v>
      </c>
      <c r="I1696" s="182" t="s">
        <v>2713</v>
      </c>
      <c r="J1696" s="182" t="s">
        <v>98</v>
      </c>
      <c r="K1696" s="129" t="s">
        <v>1902</v>
      </c>
      <c r="L1696" s="182" t="s">
        <v>155</v>
      </c>
      <c r="M1696" s="436"/>
      <c r="N1696" s="436"/>
      <c r="O1696" s="450"/>
      <c r="P1696" s="450"/>
      <c r="Q1696" s="450"/>
    </row>
    <row r="1697" spans="1:17" ht="15.6">
      <c r="A1697" s="505">
        <v>45890</v>
      </c>
      <c r="B1697" s="182" t="s">
        <v>2701</v>
      </c>
      <c r="C1697" s="182" t="s">
        <v>174</v>
      </c>
      <c r="D1697" s="182" t="s">
        <v>117</v>
      </c>
      <c r="E1697" s="435">
        <v>1000</v>
      </c>
      <c r="F1697" s="325">
        <f t="shared" si="16"/>
        <v>1.7827155035636482</v>
      </c>
      <c r="G1697" s="326">
        <v>560.94200000000001</v>
      </c>
      <c r="H1697" s="182" t="s">
        <v>190</v>
      </c>
      <c r="I1697" s="182" t="s">
        <v>2707</v>
      </c>
      <c r="J1697" s="182" t="s">
        <v>98</v>
      </c>
      <c r="K1697" s="129" t="s">
        <v>1902</v>
      </c>
      <c r="L1697" s="182" t="s">
        <v>155</v>
      </c>
      <c r="M1697" s="436"/>
      <c r="N1697" s="436"/>
      <c r="O1697" s="450"/>
      <c r="P1697" s="450"/>
      <c r="Q1697" s="450"/>
    </row>
    <row r="1698" spans="1:17" ht="15.6">
      <c r="A1698" s="505">
        <v>45890</v>
      </c>
      <c r="B1698" s="182" t="s">
        <v>2693</v>
      </c>
      <c r="C1698" s="182" t="s">
        <v>174</v>
      </c>
      <c r="D1698" s="182" t="s">
        <v>117</v>
      </c>
      <c r="E1698" s="435">
        <v>1000</v>
      </c>
      <c r="F1698" s="325">
        <f t="shared" si="16"/>
        <v>1.7827155035636482</v>
      </c>
      <c r="G1698" s="326">
        <v>560.94200000000001</v>
      </c>
      <c r="H1698" s="182" t="s">
        <v>190</v>
      </c>
      <c r="I1698" s="182" t="s">
        <v>2707</v>
      </c>
      <c r="J1698" s="182" t="s">
        <v>98</v>
      </c>
      <c r="K1698" s="129" t="s">
        <v>1902</v>
      </c>
      <c r="L1698" s="182" t="s">
        <v>155</v>
      </c>
      <c r="M1698" s="436"/>
      <c r="N1698" s="436"/>
      <c r="O1698" s="450"/>
      <c r="P1698" s="450"/>
      <c r="Q1698" s="450"/>
    </row>
    <row r="1699" spans="1:17" ht="15.6">
      <c r="A1699" s="505">
        <v>45890</v>
      </c>
      <c r="B1699" s="182" t="s">
        <v>2733</v>
      </c>
      <c r="C1699" s="182" t="s">
        <v>177</v>
      </c>
      <c r="D1699" s="182" t="s">
        <v>117</v>
      </c>
      <c r="E1699" s="435">
        <v>30000</v>
      </c>
      <c r="F1699" s="325">
        <f t="shared" si="16"/>
        <v>53.481465106909447</v>
      </c>
      <c r="G1699" s="326">
        <v>560.94200000000001</v>
      </c>
      <c r="H1699" s="182" t="s">
        <v>193</v>
      </c>
      <c r="I1699" s="182" t="s">
        <v>2759</v>
      </c>
      <c r="J1699" s="182" t="s">
        <v>98</v>
      </c>
      <c r="K1699" s="129" t="s">
        <v>1902</v>
      </c>
      <c r="L1699" s="182" t="s">
        <v>155</v>
      </c>
      <c r="M1699" s="436"/>
      <c r="N1699" s="436"/>
      <c r="O1699" s="450"/>
      <c r="P1699" s="450"/>
      <c r="Q1699" s="450"/>
    </row>
    <row r="1700" spans="1:17" ht="15.6">
      <c r="A1700" s="505">
        <v>45890</v>
      </c>
      <c r="B1700" s="182" t="s">
        <v>2734</v>
      </c>
      <c r="C1700" s="182" t="s">
        <v>174</v>
      </c>
      <c r="D1700" s="182" t="s">
        <v>117</v>
      </c>
      <c r="E1700" s="435">
        <v>500</v>
      </c>
      <c r="F1700" s="325">
        <f t="shared" si="16"/>
        <v>0.89135775178182408</v>
      </c>
      <c r="G1700" s="326">
        <v>560.94200000000001</v>
      </c>
      <c r="H1700" s="182" t="s">
        <v>193</v>
      </c>
      <c r="I1700" s="182" t="s">
        <v>2753</v>
      </c>
      <c r="J1700" s="182" t="s">
        <v>98</v>
      </c>
      <c r="K1700" s="129" t="s">
        <v>1902</v>
      </c>
      <c r="L1700" s="182" t="s">
        <v>155</v>
      </c>
      <c r="M1700" s="436"/>
      <c r="N1700" s="436"/>
      <c r="O1700" s="450"/>
      <c r="P1700" s="450"/>
      <c r="Q1700" s="450"/>
    </row>
    <row r="1701" spans="1:17" ht="15.6">
      <c r="A1701" s="505">
        <v>45890</v>
      </c>
      <c r="B1701" s="182" t="s">
        <v>2735</v>
      </c>
      <c r="C1701" s="379" t="s">
        <v>174</v>
      </c>
      <c r="D1701" s="182" t="s">
        <v>117</v>
      </c>
      <c r="E1701" s="435">
        <v>5000</v>
      </c>
      <c r="F1701" s="325">
        <f t="shared" si="16"/>
        <v>8.9135775178182417</v>
      </c>
      <c r="G1701" s="326">
        <v>560.94200000000001</v>
      </c>
      <c r="H1701" s="182" t="s">
        <v>193</v>
      </c>
      <c r="I1701" s="182" t="s">
        <v>2760</v>
      </c>
      <c r="J1701" s="182" t="s">
        <v>98</v>
      </c>
      <c r="K1701" s="129" t="s">
        <v>1902</v>
      </c>
      <c r="L1701" s="182" t="s">
        <v>155</v>
      </c>
      <c r="M1701" s="436"/>
      <c r="N1701" s="436"/>
      <c r="O1701" s="450"/>
      <c r="P1701" s="450"/>
      <c r="Q1701" s="450"/>
    </row>
    <row r="1702" spans="1:17" ht="15.6">
      <c r="A1702" s="505">
        <v>45890</v>
      </c>
      <c r="B1702" s="182" t="s">
        <v>2736</v>
      </c>
      <c r="C1702" s="182" t="s">
        <v>174</v>
      </c>
      <c r="D1702" s="182" t="s">
        <v>117</v>
      </c>
      <c r="E1702" s="435">
        <v>7000</v>
      </c>
      <c r="F1702" s="325">
        <f t="shared" si="16"/>
        <v>12.479008524945538</v>
      </c>
      <c r="G1702" s="326">
        <v>560.94200000000001</v>
      </c>
      <c r="H1702" s="182" t="s">
        <v>193</v>
      </c>
      <c r="I1702" s="182" t="s">
        <v>2761</v>
      </c>
      <c r="J1702" s="182" t="s">
        <v>98</v>
      </c>
      <c r="K1702" s="129" t="s">
        <v>1902</v>
      </c>
      <c r="L1702" s="182" t="s">
        <v>155</v>
      </c>
      <c r="M1702" s="436"/>
      <c r="N1702" s="436"/>
      <c r="O1702" s="450"/>
      <c r="P1702" s="450"/>
      <c r="Q1702" s="450"/>
    </row>
    <row r="1703" spans="1:17" ht="15.6">
      <c r="A1703" s="505">
        <v>45890</v>
      </c>
      <c r="B1703" s="182" t="s">
        <v>2737</v>
      </c>
      <c r="C1703" s="182" t="s">
        <v>174</v>
      </c>
      <c r="D1703" s="182" t="s">
        <v>117</v>
      </c>
      <c r="E1703" s="435">
        <v>1000</v>
      </c>
      <c r="F1703" s="325">
        <f t="shared" si="16"/>
        <v>1.7827155035636482</v>
      </c>
      <c r="G1703" s="326">
        <v>560.94200000000001</v>
      </c>
      <c r="H1703" s="182" t="s">
        <v>193</v>
      </c>
      <c r="I1703" s="182" t="s">
        <v>2753</v>
      </c>
      <c r="J1703" s="182" t="s">
        <v>98</v>
      </c>
      <c r="K1703" s="129" t="s">
        <v>1902</v>
      </c>
      <c r="L1703" s="182" t="s">
        <v>155</v>
      </c>
      <c r="M1703" s="436"/>
      <c r="N1703" s="436"/>
      <c r="O1703" s="450"/>
      <c r="P1703" s="450"/>
      <c r="Q1703" s="450"/>
    </row>
    <row r="1704" spans="1:17" ht="15.6">
      <c r="A1704" s="505">
        <v>45891</v>
      </c>
      <c r="B1704" s="182" t="s">
        <v>1069</v>
      </c>
      <c r="C1704" s="182" t="s">
        <v>174</v>
      </c>
      <c r="D1704" s="182" t="s">
        <v>117</v>
      </c>
      <c r="E1704" s="435">
        <v>8000</v>
      </c>
      <c r="F1704" s="325">
        <f t="shared" si="16"/>
        <v>14.261724028509185</v>
      </c>
      <c r="G1704" s="326">
        <v>560.94200000000001</v>
      </c>
      <c r="H1704" s="182" t="s">
        <v>190</v>
      </c>
      <c r="I1704" s="182" t="s">
        <v>2714</v>
      </c>
      <c r="J1704" s="182" t="s">
        <v>98</v>
      </c>
      <c r="K1704" s="129" t="s">
        <v>1902</v>
      </c>
      <c r="L1704" s="182" t="s">
        <v>155</v>
      </c>
      <c r="M1704" s="436"/>
      <c r="N1704" s="436"/>
      <c r="O1704" s="450"/>
      <c r="P1704" s="450"/>
      <c r="Q1704" s="450"/>
    </row>
    <row r="1705" spans="1:17" ht="15.6">
      <c r="A1705" s="535">
        <v>45891</v>
      </c>
      <c r="B1705" s="517" t="s">
        <v>2099</v>
      </c>
      <c r="C1705" s="308" t="s">
        <v>174</v>
      </c>
      <c r="D1705" s="308" t="s">
        <v>119</v>
      </c>
      <c r="E1705" s="517">
        <v>1000</v>
      </c>
      <c r="F1705" s="325">
        <f t="shared" si="16"/>
        <v>1.7827155035636482</v>
      </c>
      <c r="G1705" s="326">
        <v>560.94200000000001</v>
      </c>
      <c r="H1705" s="524" t="s">
        <v>153</v>
      </c>
      <c r="I1705" s="525" t="s">
        <v>2494</v>
      </c>
      <c r="J1705" s="182" t="s">
        <v>98</v>
      </c>
      <c r="K1705" s="129" t="s">
        <v>1902</v>
      </c>
      <c r="L1705" s="182" t="s">
        <v>155</v>
      </c>
      <c r="M1705" s="512"/>
      <c r="N1705" s="512"/>
      <c r="O1705" s="450"/>
      <c r="P1705" s="450"/>
      <c r="Q1705" s="450"/>
    </row>
    <row r="1706" spans="1:17" ht="15.6">
      <c r="A1706" s="535">
        <v>45891</v>
      </c>
      <c r="B1706" s="517" t="s">
        <v>2446</v>
      </c>
      <c r="C1706" s="308" t="s">
        <v>174</v>
      </c>
      <c r="D1706" s="308" t="s">
        <v>119</v>
      </c>
      <c r="E1706" s="517">
        <v>1000</v>
      </c>
      <c r="F1706" s="325">
        <f t="shared" si="16"/>
        <v>1.7827155035636482</v>
      </c>
      <c r="G1706" s="326">
        <v>560.94200000000001</v>
      </c>
      <c r="H1706" s="524" t="s">
        <v>153</v>
      </c>
      <c r="I1706" s="525" t="s">
        <v>2494</v>
      </c>
      <c r="J1706" s="182" t="s">
        <v>98</v>
      </c>
      <c r="K1706" s="129" t="s">
        <v>1902</v>
      </c>
      <c r="L1706" s="182" t="s">
        <v>155</v>
      </c>
      <c r="M1706" s="512"/>
      <c r="N1706" s="512"/>
      <c r="O1706" s="450"/>
      <c r="P1706" s="450"/>
      <c r="Q1706" s="450"/>
    </row>
    <row r="1707" spans="1:17" ht="15.6">
      <c r="A1707" s="536">
        <v>45891</v>
      </c>
      <c r="B1707" s="516" t="s">
        <v>2466</v>
      </c>
      <c r="C1707" s="516" t="s">
        <v>174</v>
      </c>
      <c r="D1707" s="516" t="s">
        <v>117</v>
      </c>
      <c r="E1707" s="526">
        <v>500</v>
      </c>
      <c r="F1707" s="325">
        <f t="shared" ref="F1707:F1770" si="17">E1707/G1707</f>
        <v>0.89135775178182408</v>
      </c>
      <c r="G1707" s="326">
        <v>560.94200000000001</v>
      </c>
      <c r="H1707" s="177" t="s">
        <v>200</v>
      </c>
      <c r="I1707" s="516" t="s">
        <v>2489</v>
      </c>
      <c r="J1707" s="182" t="s">
        <v>98</v>
      </c>
      <c r="K1707" s="129" t="s">
        <v>1902</v>
      </c>
      <c r="L1707" s="182" t="s">
        <v>155</v>
      </c>
      <c r="M1707" s="512"/>
      <c r="N1707" s="512"/>
      <c r="O1707" s="450"/>
      <c r="P1707" s="450"/>
      <c r="Q1707" s="450"/>
    </row>
    <row r="1708" spans="1:17" ht="15.6">
      <c r="A1708" s="536">
        <v>45891</v>
      </c>
      <c r="B1708" s="516" t="s">
        <v>2467</v>
      </c>
      <c r="C1708" s="516" t="s">
        <v>174</v>
      </c>
      <c r="D1708" s="516" t="s">
        <v>117</v>
      </c>
      <c r="E1708" s="526">
        <v>500</v>
      </c>
      <c r="F1708" s="325">
        <f t="shared" si="17"/>
        <v>0.89135775178182408</v>
      </c>
      <c r="G1708" s="326">
        <v>560.94200000000001</v>
      </c>
      <c r="H1708" s="177" t="s">
        <v>200</v>
      </c>
      <c r="I1708" s="516" t="s">
        <v>2489</v>
      </c>
      <c r="J1708" s="182" t="s">
        <v>98</v>
      </c>
      <c r="K1708" s="129" t="s">
        <v>1902</v>
      </c>
      <c r="L1708" s="182" t="s">
        <v>155</v>
      </c>
      <c r="M1708" s="512"/>
      <c r="N1708" s="512"/>
      <c r="O1708" s="450"/>
      <c r="P1708" s="450"/>
      <c r="Q1708" s="450"/>
    </row>
    <row r="1709" spans="1:17" ht="15.6">
      <c r="A1709" s="536">
        <v>45891</v>
      </c>
      <c r="B1709" s="516" t="s">
        <v>2468</v>
      </c>
      <c r="C1709" s="516" t="s">
        <v>174</v>
      </c>
      <c r="D1709" s="516" t="s">
        <v>117</v>
      </c>
      <c r="E1709" s="526">
        <v>500</v>
      </c>
      <c r="F1709" s="325">
        <f t="shared" si="17"/>
        <v>0.89135775178182408</v>
      </c>
      <c r="G1709" s="326">
        <v>560.94200000000001</v>
      </c>
      <c r="H1709" s="177" t="s">
        <v>200</v>
      </c>
      <c r="I1709" s="516" t="s">
        <v>2489</v>
      </c>
      <c r="J1709" s="182" t="s">
        <v>98</v>
      </c>
      <c r="K1709" s="129" t="s">
        <v>1902</v>
      </c>
      <c r="L1709" s="182" t="s">
        <v>155</v>
      </c>
      <c r="M1709" s="512"/>
      <c r="N1709" s="512"/>
      <c r="O1709" s="450"/>
      <c r="P1709" s="450"/>
      <c r="Q1709" s="450"/>
    </row>
    <row r="1710" spans="1:17" ht="15.6">
      <c r="A1710" s="504">
        <v>45891</v>
      </c>
      <c r="B1710" s="182" t="s">
        <v>2525</v>
      </c>
      <c r="C1710" s="182" t="s">
        <v>174</v>
      </c>
      <c r="D1710" s="182" t="s">
        <v>118</v>
      </c>
      <c r="E1710" s="435">
        <v>1000</v>
      </c>
      <c r="F1710" s="325">
        <f t="shared" si="17"/>
        <v>1.7827155035636482</v>
      </c>
      <c r="G1710" s="326">
        <v>560.94200000000001</v>
      </c>
      <c r="H1710" s="182" t="s">
        <v>583</v>
      </c>
      <c r="I1710" s="182" t="s">
        <v>2536</v>
      </c>
      <c r="J1710" s="182" t="s">
        <v>98</v>
      </c>
      <c r="K1710" s="129" t="s">
        <v>1902</v>
      </c>
      <c r="L1710" s="182" t="s">
        <v>155</v>
      </c>
      <c r="M1710" s="512"/>
      <c r="N1710" s="512"/>
      <c r="O1710" s="450"/>
      <c r="P1710" s="450"/>
      <c r="Q1710" s="450"/>
    </row>
    <row r="1711" spans="1:17" ht="15.6">
      <c r="A1711" s="504">
        <v>45891</v>
      </c>
      <c r="B1711" s="182" t="s">
        <v>2526</v>
      </c>
      <c r="C1711" s="182" t="s">
        <v>174</v>
      </c>
      <c r="D1711" s="182" t="s">
        <v>118</v>
      </c>
      <c r="E1711" s="435">
        <v>1000</v>
      </c>
      <c r="F1711" s="325">
        <f t="shared" si="17"/>
        <v>1.7827155035636482</v>
      </c>
      <c r="G1711" s="326">
        <v>560.94200000000001</v>
      </c>
      <c r="H1711" s="182" t="s">
        <v>583</v>
      </c>
      <c r="I1711" s="182" t="s">
        <v>2536</v>
      </c>
      <c r="J1711" s="182" t="s">
        <v>98</v>
      </c>
      <c r="K1711" s="129" t="s">
        <v>1902</v>
      </c>
      <c r="L1711" s="182" t="s">
        <v>155</v>
      </c>
      <c r="M1711" s="512"/>
      <c r="N1711" s="512"/>
      <c r="O1711" s="450"/>
      <c r="P1711" s="450"/>
      <c r="Q1711" s="450"/>
    </row>
    <row r="1712" spans="1:17" ht="15.6">
      <c r="A1712" s="504">
        <v>45891</v>
      </c>
      <c r="B1712" s="182" t="s">
        <v>2527</v>
      </c>
      <c r="C1712" s="182" t="s">
        <v>174</v>
      </c>
      <c r="D1712" s="182" t="s">
        <v>118</v>
      </c>
      <c r="E1712" s="435">
        <v>500</v>
      </c>
      <c r="F1712" s="325">
        <f t="shared" si="17"/>
        <v>0.89135775178182408</v>
      </c>
      <c r="G1712" s="326">
        <v>560.94200000000001</v>
      </c>
      <c r="H1712" s="182" t="s">
        <v>583</v>
      </c>
      <c r="I1712" s="182" t="s">
        <v>2536</v>
      </c>
      <c r="J1712" s="182" t="s">
        <v>98</v>
      </c>
      <c r="K1712" s="129" t="s">
        <v>1902</v>
      </c>
      <c r="L1712" s="182" t="s">
        <v>155</v>
      </c>
      <c r="M1712" s="512"/>
      <c r="N1712" s="512"/>
      <c r="O1712" s="450"/>
      <c r="P1712" s="450"/>
      <c r="Q1712" s="450"/>
    </row>
    <row r="1713" spans="1:17" ht="15.6">
      <c r="A1713" s="504">
        <v>45891</v>
      </c>
      <c r="B1713" s="182" t="s">
        <v>2528</v>
      </c>
      <c r="C1713" s="182" t="s">
        <v>174</v>
      </c>
      <c r="D1713" s="182" t="s">
        <v>118</v>
      </c>
      <c r="E1713" s="435">
        <v>500</v>
      </c>
      <c r="F1713" s="325">
        <f t="shared" si="17"/>
        <v>0.89135775178182408</v>
      </c>
      <c r="G1713" s="326">
        <v>560.94200000000001</v>
      </c>
      <c r="H1713" s="182" t="s">
        <v>583</v>
      </c>
      <c r="I1713" s="182" t="s">
        <v>2536</v>
      </c>
      <c r="J1713" s="182" t="s">
        <v>98</v>
      </c>
      <c r="K1713" s="129" t="s">
        <v>1902</v>
      </c>
      <c r="L1713" s="182" t="s">
        <v>155</v>
      </c>
      <c r="M1713" s="512"/>
      <c r="N1713" s="512"/>
      <c r="O1713" s="450"/>
      <c r="P1713" s="450"/>
      <c r="Q1713" s="450"/>
    </row>
    <row r="1714" spans="1:17" ht="15.6">
      <c r="A1714" s="504">
        <v>45891</v>
      </c>
      <c r="B1714" s="182" t="s">
        <v>2529</v>
      </c>
      <c r="C1714" s="182" t="s">
        <v>174</v>
      </c>
      <c r="D1714" s="182" t="s">
        <v>118</v>
      </c>
      <c r="E1714" s="435">
        <v>500</v>
      </c>
      <c r="F1714" s="325">
        <f t="shared" si="17"/>
        <v>0.89135775178182408</v>
      </c>
      <c r="G1714" s="326">
        <v>560.94200000000001</v>
      </c>
      <c r="H1714" s="182" t="s">
        <v>583</v>
      </c>
      <c r="I1714" s="182" t="s">
        <v>2536</v>
      </c>
      <c r="J1714" s="182" t="s">
        <v>98</v>
      </c>
      <c r="K1714" s="129" t="s">
        <v>1902</v>
      </c>
      <c r="L1714" s="182" t="s">
        <v>155</v>
      </c>
      <c r="M1714" s="512"/>
      <c r="N1714" s="512"/>
      <c r="O1714" s="450"/>
      <c r="P1714" s="450"/>
      <c r="Q1714" s="450"/>
    </row>
    <row r="1715" spans="1:17" ht="15.6">
      <c r="A1715" s="506">
        <v>45891</v>
      </c>
      <c r="B1715" s="182" t="s">
        <v>2398</v>
      </c>
      <c r="C1715" s="182" t="s">
        <v>182</v>
      </c>
      <c r="D1715" s="182" t="s">
        <v>118</v>
      </c>
      <c r="E1715" s="435">
        <v>31890</v>
      </c>
      <c r="F1715" s="325">
        <f t="shared" si="17"/>
        <v>56.850797408644745</v>
      </c>
      <c r="G1715" s="326">
        <v>560.94200000000001</v>
      </c>
      <c r="H1715" s="182" t="s">
        <v>583</v>
      </c>
      <c r="I1715" s="182" t="s">
        <v>2399</v>
      </c>
      <c r="J1715" s="182" t="s">
        <v>98</v>
      </c>
      <c r="K1715" s="129" t="s">
        <v>1902</v>
      </c>
      <c r="L1715" s="182" t="s">
        <v>155</v>
      </c>
      <c r="M1715" s="512"/>
      <c r="N1715" s="512"/>
      <c r="O1715" s="450"/>
      <c r="P1715" s="450"/>
      <c r="Q1715" s="450"/>
    </row>
    <row r="1716" spans="1:17" ht="15.6">
      <c r="A1716" s="467">
        <v>45891</v>
      </c>
      <c r="B1716" s="177" t="s">
        <v>3041</v>
      </c>
      <c r="C1716" s="177" t="s">
        <v>174</v>
      </c>
      <c r="D1716" s="177" t="s">
        <v>121</v>
      </c>
      <c r="E1716" s="177">
        <v>1000</v>
      </c>
      <c r="F1716" s="325">
        <f t="shared" si="17"/>
        <v>1.7827155035636482</v>
      </c>
      <c r="G1716" s="326">
        <v>560.94200000000001</v>
      </c>
      <c r="H1716" s="177" t="s">
        <v>184</v>
      </c>
      <c r="I1716" s="177" t="s">
        <v>2558</v>
      </c>
      <c r="J1716" s="182" t="s">
        <v>98</v>
      </c>
      <c r="K1716" s="129" t="s">
        <v>1902</v>
      </c>
      <c r="L1716" s="182" t="s">
        <v>155</v>
      </c>
      <c r="M1716" s="436"/>
      <c r="N1716" s="436"/>
      <c r="O1716" s="450"/>
      <c r="P1716" s="450"/>
      <c r="Q1716" s="450"/>
    </row>
    <row r="1717" spans="1:17" ht="15.6">
      <c r="A1717" s="467">
        <v>45891</v>
      </c>
      <c r="B1717" s="177" t="s">
        <v>3041</v>
      </c>
      <c r="C1717" s="177" t="s">
        <v>174</v>
      </c>
      <c r="D1717" s="177" t="s">
        <v>121</v>
      </c>
      <c r="E1717" s="177">
        <v>1000</v>
      </c>
      <c r="F1717" s="325">
        <f t="shared" si="17"/>
        <v>1.7827155035636482</v>
      </c>
      <c r="G1717" s="326">
        <v>560.94200000000001</v>
      </c>
      <c r="H1717" s="177" t="s">
        <v>184</v>
      </c>
      <c r="I1717" s="177" t="s">
        <v>2558</v>
      </c>
      <c r="J1717" s="182" t="s">
        <v>98</v>
      </c>
      <c r="K1717" s="129" t="s">
        <v>1902</v>
      </c>
      <c r="L1717" s="182" t="s">
        <v>155</v>
      </c>
      <c r="M1717" s="436"/>
      <c r="N1717" s="436"/>
      <c r="O1717" s="450"/>
      <c r="P1717" s="450"/>
      <c r="Q1717" s="450"/>
    </row>
    <row r="1718" spans="1:17" ht="15.6">
      <c r="A1718" s="467">
        <v>45891</v>
      </c>
      <c r="B1718" s="177" t="s">
        <v>3039</v>
      </c>
      <c r="C1718" s="177" t="s">
        <v>174</v>
      </c>
      <c r="D1718" s="177" t="s">
        <v>121</v>
      </c>
      <c r="E1718" s="177">
        <v>1000</v>
      </c>
      <c r="F1718" s="325">
        <f t="shared" si="17"/>
        <v>1.7827155035636482</v>
      </c>
      <c r="G1718" s="326">
        <v>560.94200000000001</v>
      </c>
      <c r="H1718" s="177" t="s">
        <v>184</v>
      </c>
      <c r="I1718" s="177" t="s">
        <v>2558</v>
      </c>
      <c r="J1718" s="182" t="s">
        <v>98</v>
      </c>
      <c r="K1718" s="129" t="s">
        <v>1902</v>
      </c>
      <c r="L1718" s="182" t="s">
        <v>155</v>
      </c>
      <c r="M1718" s="436"/>
      <c r="N1718" s="436"/>
      <c r="O1718" s="450"/>
      <c r="P1718" s="450"/>
      <c r="Q1718" s="450"/>
    </row>
    <row r="1719" spans="1:17" ht="15.6">
      <c r="A1719" s="467">
        <v>45891</v>
      </c>
      <c r="B1719" s="177" t="s">
        <v>3039</v>
      </c>
      <c r="C1719" s="177" t="s">
        <v>174</v>
      </c>
      <c r="D1719" s="177" t="s">
        <v>121</v>
      </c>
      <c r="E1719" s="177">
        <v>1000</v>
      </c>
      <c r="F1719" s="325">
        <f t="shared" si="17"/>
        <v>1.7827155035636482</v>
      </c>
      <c r="G1719" s="326">
        <v>560.94200000000001</v>
      </c>
      <c r="H1719" s="177" t="s">
        <v>184</v>
      </c>
      <c r="I1719" s="177" t="s">
        <v>2558</v>
      </c>
      <c r="J1719" s="182" t="s">
        <v>98</v>
      </c>
      <c r="K1719" s="129" t="s">
        <v>1902</v>
      </c>
      <c r="L1719" s="182" t="s">
        <v>155</v>
      </c>
      <c r="M1719" s="436"/>
      <c r="N1719" s="436"/>
      <c r="O1719" s="450"/>
      <c r="P1719" s="450"/>
      <c r="Q1719" s="450"/>
    </row>
    <row r="1720" spans="1:17" ht="15.6">
      <c r="A1720" s="467">
        <v>45891</v>
      </c>
      <c r="B1720" s="177" t="s">
        <v>3042</v>
      </c>
      <c r="C1720" s="177" t="s">
        <v>174</v>
      </c>
      <c r="D1720" s="177" t="s">
        <v>121</v>
      </c>
      <c r="E1720" s="177">
        <v>500</v>
      </c>
      <c r="F1720" s="325">
        <f t="shared" si="17"/>
        <v>0.89135775178182408</v>
      </c>
      <c r="G1720" s="326">
        <v>560.94200000000001</v>
      </c>
      <c r="H1720" s="177" t="s">
        <v>184</v>
      </c>
      <c r="I1720" s="177" t="s">
        <v>2558</v>
      </c>
      <c r="J1720" s="182" t="s">
        <v>98</v>
      </c>
      <c r="K1720" s="129" t="s">
        <v>1902</v>
      </c>
      <c r="L1720" s="182" t="s">
        <v>155</v>
      </c>
      <c r="M1720" s="436"/>
      <c r="N1720" s="436"/>
      <c r="O1720" s="450"/>
      <c r="P1720" s="450"/>
      <c r="Q1720" s="450"/>
    </row>
    <row r="1721" spans="1:17" ht="15.6">
      <c r="A1721" s="467">
        <v>45891</v>
      </c>
      <c r="B1721" s="177" t="s">
        <v>3041</v>
      </c>
      <c r="C1721" s="177" t="s">
        <v>174</v>
      </c>
      <c r="D1721" s="177" t="s">
        <v>121</v>
      </c>
      <c r="E1721" s="177">
        <v>1000</v>
      </c>
      <c r="F1721" s="325">
        <f t="shared" si="17"/>
        <v>1.7827155035636482</v>
      </c>
      <c r="G1721" s="326">
        <v>560.94200000000001</v>
      </c>
      <c r="H1721" s="177" t="s">
        <v>184</v>
      </c>
      <c r="I1721" s="177" t="s">
        <v>2558</v>
      </c>
      <c r="J1721" s="182" t="s">
        <v>98</v>
      </c>
      <c r="K1721" s="129" t="s">
        <v>1902</v>
      </c>
      <c r="L1721" s="182" t="s">
        <v>155</v>
      </c>
      <c r="M1721" s="436"/>
      <c r="N1721" s="436"/>
      <c r="O1721" s="450"/>
      <c r="P1721" s="450"/>
      <c r="Q1721" s="450"/>
    </row>
    <row r="1722" spans="1:17" ht="15.6">
      <c r="A1722" s="467">
        <v>45891</v>
      </c>
      <c r="B1722" s="177" t="s">
        <v>3042</v>
      </c>
      <c r="C1722" s="177" t="s">
        <v>174</v>
      </c>
      <c r="D1722" s="177" t="s">
        <v>121</v>
      </c>
      <c r="E1722" s="177">
        <v>500</v>
      </c>
      <c r="F1722" s="325">
        <f t="shared" si="17"/>
        <v>0.89135775178182408</v>
      </c>
      <c r="G1722" s="326">
        <v>560.94200000000001</v>
      </c>
      <c r="H1722" s="177" t="s">
        <v>184</v>
      </c>
      <c r="I1722" s="177" t="s">
        <v>2558</v>
      </c>
      <c r="J1722" s="182" t="s">
        <v>98</v>
      </c>
      <c r="K1722" s="129" t="s">
        <v>1902</v>
      </c>
      <c r="L1722" s="182" t="s">
        <v>155</v>
      </c>
      <c r="M1722" s="436"/>
      <c r="N1722" s="436"/>
      <c r="O1722" s="450"/>
      <c r="P1722" s="450"/>
      <c r="Q1722" s="450"/>
    </row>
    <row r="1723" spans="1:17" ht="15.6">
      <c r="A1723" s="467">
        <v>45891</v>
      </c>
      <c r="B1723" s="177" t="s">
        <v>3039</v>
      </c>
      <c r="C1723" s="177" t="s">
        <v>174</v>
      </c>
      <c r="D1723" s="177" t="s">
        <v>121</v>
      </c>
      <c r="E1723" s="177">
        <v>1000</v>
      </c>
      <c r="F1723" s="325">
        <f t="shared" si="17"/>
        <v>1.7827155035636482</v>
      </c>
      <c r="G1723" s="326">
        <v>560.94200000000001</v>
      </c>
      <c r="H1723" s="177" t="s">
        <v>184</v>
      </c>
      <c r="I1723" s="177" t="s">
        <v>2558</v>
      </c>
      <c r="J1723" s="182" t="s">
        <v>98</v>
      </c>
      <c r="K1723" s="129" t="s">
        <v>1902</v>
      </c>
      <c r="L1723" s="182" t="s">
        <v>155</v>
      </c>
      <c r="M1723" s="436"/>
      <c r="N1723" s="436"/>
      <c r="O1723" s="450"/>
      <c r="P1723" s="450"/>
      <c r="Q1723" s="450"/>
    </row>
    <row r="1724" spans="1:17" ht="15.6">
      <c r="A1724" s="505">
        <v>45891</v>
      </c>
      <c r="B1724" s="182" t="s">
        <v>3083</v>
      </c>
      <c r="C1724" s="182" t="s">
        <v>174</v>
      </c>
      <c r="D1724" s="510" t="s">
        <v>121</v>
      </c>
      <c r="E1724" s="182">
        <v>500</v>
      </c>
      <c r="F1724" s="325">
        <f t="shared" si="17"/>
        <v>0.89135775178182408</v>
      </c>
      <c r="G1724" s="326">
        <v>560.94200000000001</v>
      </c>
      <c r="H1724" s="182" t="s">
        <v>175</v>
      </c>
      <c r="I1724" s="182" t="s">
        <v>2588</v>
      </c>
      <c r="J1724" s="182" t="s">
        <v>98</v>
      </c>
      <c r="K1724" s="129" t="s">
        <v>1902</v>
      </c>
      <c r="L1724" s="182" t="s">
        <v>155</v>
      </c>
      <c r="M1724" s="436"/>
      <c r="N1724" s="436"/>
      <c r="O1724" s="450"/>
      <c r="P1724" s="450"/>
      <c r="Q1724" s="450"/>
    </row>
    <row r="1725" spans="1:17" ht="15.6">
      <c r="A1725" s="505">
        <v>45891</v>
      </c>
      <c r="B1725" s="182" t="s">
        <v>3083</v>
      </c>
      <c r="C1725" s="182" t="s">
        <v>174</v>
      </c>
      <c r="D1725" s="510" t="s">
        <v>121</v>
      </c>
      <c r="E1725" s="182">
        <v>500</v>
      </c>
      <c r="F1725" s="325">
        <f t="shared" si="17"/>
        <v>0.89135775178182408</v>
      </c>
      <c r="G1725" s="326">
        <v>560.94200000000001</v>
      </c>
      <c r="H1725" s="182" t="s">
        <v>175</v>
      </c>
      <c r="I1725" s="182" t="s">
        <v>2588</v>
      </c>
      <c r="J1725" s="182" t="s">
        <v>98</v>
      </c>
      <c r="K1725" s="129" t="s">
        <v>1902</v>
      </c>
      <c r="L1725" s="182" t="s">
        <v>155</v>
      </c>
      <c r="M1725" s="436"/>
      <c r="N1725" s="436"/>
      <c r="O1725" s="450"/>
      <c r="P1725" s="450"/>
      <c r="Q1725" s="450"/>
    </row>
    <row r="1726" spans="1:17" ht="15.6">
      <c r="A1726" s="505">
        <v>45891</v>
      </c>
      <c r="B1726" s="182" t="s">
        <v>3005</v>
      </c>
      <c r="C1726" s="182" t="s">
        <v>174</v>
      </c>
      <c r="D1726" s="522" t="s">
        <v>121</v>
      </c>
      <c r="E1726" s="182">
        <v>500</v>
      </c>
      <c r="F1726" s="325">
        <f t="shared" si="17"/>
        <v>0.89135775178182408</v>
      </c>
      <c r="G1726" s="326">
        <v>560.94200000000001</v>
      </c>
      <c r="H1726" s="182" t="s">
        <v>317</v>
      </c>
      <c r="I1726" s="182" t="s">
        <v>2632</v>
      </c>
      <c r="J1726" s="182" t="s">
        <v>98</v>
      </c>
      <c r="K1726" s="129" t="s">
        <v>1902</v>
      </c>
      <c r="L1726" s="182" t="s">
        <v>155</v>
      </c>
      <c r="M1726" s="436"/>
      <c r="N1726" s="436"/>
      <c r="O1726" s="450"/>
      <c r="P1726" s="450"/>
      <c r="Q1726" s="450"/>
    </row>
    <row r="1727" spans="1:17" ht="15.6">
      <c r="A1727" s="505">
        <v>45891</v>
      </c>
      <c r="B1727" s="182" t="s">
        <v>3005</v>
      </c>
      <c r="C1727" s="182" t="s">
        <v>174</v>
      </c>
      <c r="D1727" s="522" t="s">
        <v>121</v>
      </c>
      <c r="E1727" s="182">
        <v>500</v>
      </c>
      <c r="F1727" s="325">
        <f t="shared" si="17"/>
        <v>0.89135775178182408</v>
      </c>
      <c r="G1727" s="326">
        <v>560.94200000000001</v>
      </c>
      <c r="H1727" s="182" t="s">
        <v>317</v>
      </c>
      <c r="I1727" s="182" t="s">
        <v>2632</v>
      </c>
      <c r="J1727" s="182" t="s">
        <v>98</v>
      </c>
      <c r="K1727" s="129" t="s">
        <v>1902</v>
      </c>
      <c r="L1727" s="182" t="s">
        <v>155</v>
      </c>
      <c r="M1727" s="436"/>
      <c r="N1727" s="436"/>
      <c r="O1727" s="450"/>
      <c r="P1727" s="450"/>
      <c r="Q1727" s="450"/>
    </row>
    <row r="1728" spans="1:17" ht="15.6">
      <c r="A1728" s="505">
        <v>45891</v>
      </c>
      <c r="B1728" s="182" t="s">
        <v>3152</v>
      </c>
      <c r="C1728" s="182" t="s">
        <v>365</v>
      </c>
      <c r="D1728" s="522" t="s">
        <v>121</v>
      </c>
      <c r="E1728" s="182">
        <v>2000</v>
      </c>
      <c r="F1728" s="325">
        <f t="shared" si="17"/>
        <v>3.5654310071272963</v>
      </c>
      <c r="G1728" s="326">
        <v>560.94200000000001</v>
      </c>
      <c r="H1728" s="182" t="s">
        <v>317</v>
      </c>
      <c r="I1728" s="182" t="s">
        <v>2639</v>
      </c>
      <c r="J1728" s="182" t="s">
        <v>98</v>
      </c>
      <c r="K1728" s="129" t="s">
        <v>1902</v>
      </c>
      <c r="L1728" s="182" t="s">
        <v>155</v>
      </c>
      <c r="M1728" s="436"/>
      <c r="N1728" s="436"/>
      <c r="O1728" s="450"/>
      <c r="P1728" s="450"/>
      <c r="Q1728" s="450"/>
    </row>
    <row r="1729" spans="1:17" ht="15.6">
      <c r="A1729" s="505">
        <v>45891</v>
      </c>
      <c r="B1729" s="182" t="s">
        <v>3037</v>
      </c>
      <c r="C1729" s="182" t="s">
        <v>174</v>
      </c>
      <c r="D1729" s="522" t="s">
        <v>121</v>
      </c>
      <c r="E1729" s="182">
        <v>500</v>
      </c>
      <c r="F1729" s="325">
        <f t="shared" si="17"/>
        <v>0.89135775178182408</v>
      </c>
      <c r="G1729" s="326">
        <v>560.94200000000001</v>
      </c>
      <c r="H1729" s="182" t="s">
        <v>317</v>
      </c>
      <c r="I1729" s="182" t="s">
        <v>2632</v>
      </c>
      <c r="J1729" s="182" t="s">
        <v>98</v>
      </c>
      <c r="K1729" s="129" t="s">
        <v>1902</v>
      </c>
      <c r="L1729" s="182" t="s">
        <v>155</v>
      </c>
      <c r="M1729" s="436"/>
      <c r="N1729" s="436"/>
      <c r="O1729" s="450"/>
      <c r="P1729" s="450"/>
      <c r="Q1729" s="450"/>
    </row>
    <row r="1730" spans="1:17" ht="15.6">
      <c r="A1730" s="505">
        <v>45891</v>
      </c>
      <c r="B1730" s="182" t="s">
        <v>3083</v>
      </c>
      <c r="C1730" s="182" t="s">
        <v>174</v>
      </c>
      <c r="D1730" s="522" t="s">
        <v>121</v>
      </c>
      <c r="E1730" s="182">
        <v>500</v>
      </c>
      <c r="F1730" s="325">
        <f t="shared" si="17"/>
        <v>0.89135775178182408</v>
      </c>
      <c r="G1730" s="326">
        <v>560.94200000000001</v>
      </c>
      <c r="H1730" s="182" t="s">
        <v>317</v>
      </c>
      <c r="I1730" s="182" t="s">
        <v>2632</v>
      </c>
      <c r="J1730" s="182" t="s">
        <v>98</v>
      </c>
      <c r="K1730" s="129" t="s">
        <v>1902</v>
      </c>
      <c r="L1730" s="182" t="s">
        <v>155</v>
      </c>
      <c r="M1730" s="436"/>
      <c r="N1730" s="436"/>
      <c r="O1730" s="450"/>
      <c r="P1730" s="450"/>
      <c r="Q1730" s="450"/>
    </row>
    <row r="1731" spans="1:17" ht="15.6">
      <c r="A1731" s="505">
        <v>45891</v>
      </c>
      <c r="B1731" s="182" t="s">
        <v>3083</v>
      </c>
      <c r="C1731" s="182" t="s">
        <v>174</v>
      </c>
      <c r="D1731" s="522" t="s">
        <v>121</v>
      </c>
      <c r="E1731" s="182">
        <v>500</v>
      </c>
      <c r="F1731" s="325">
        <f t="shared" si="17"/>
        <v>0.89135775178182408</v>
      </c>
      <c r="G1731" s="326">
        <v>560.94200000000001</v>
      </c>
      <c r="H1731" s="182" t="s">
        <v>317</v>
      </c>
      <c r="I1731" s="182" t="s">
        <v>2632</v>
      </c>
      <c r="J1731" s="182" t="s">
        <v>98</v>
      </c>
      <c r="K1731" s="129" t="s">
        <v>1902</v>
      </c>
      <c r="L1731" s="182" t="s">
        <v>155</v>
      </c>
      <c r="M1731" s="436"/>
      <c r="N1731" s="436"/>
      <c r="O1731" s="450"/>
      <c r="P1731" s="450"/>
      <c r="Q1731" s="450"/>
    </row>
    <row r="1732" spans="1:17" ht="15.6">
      <c r="A1732" s="505">
        <v>45891</v>
      </c>
      <c r="B1732" s="182" t="s">
        <v>3153</v>
      </c>
      <c r="C1732" s="182" t="s">
        <v>174</v>
      </c>
      <c r="D1732" s="522" t="s">
        <v>121</v>
      </c>
      <c r="E1732" s="496">
        <v>1000</v>
      </c>
      <c r="F1732" s="325">
        <f t="shared" si="17"/>
        <v>1.7827155035636482</v>
      </c>
      <c r="G1732" s="326">
        <v>560.94200000000001</v>
      </c>
      <c r="H1732" s="182" t="s">
        <v>323</v>
      </c>
      <c r="I1732" s="182" t="s">
        <v>2671</v>
      </c>
      <c r="J1732" s="182" t="s">
        <v>98</v>
      </c>
      <c r="K1732" s="129" t="s">
        <v>1902</v>
      </c>
      <c r="L1732" s="182" t="s">
        <v>155</v>
      </c>
      <c r="M1732" s="436"/>
      <c r="N1732" s="436"/>
      <c r="O1732" s="450"/>
      <c r="P1732" s="450"/>
      <c r="Q1732" s="450"/>
    </row>
    <row r="1733" spans="1:17" ht="15.6">
      <c r="A1733" s="505">
        <v>45891</v>
      </c>
      <c r="B1733" s="182" t="s">
        <v>3048</v>
      </c>
      <c r="C1733" s="182" t="s">
        <v>174</v>
      </c>
      <c r="D1733" s="522" t="s">
        <v>121</v>
      </c>
      <c r="E1733" s="496">
        <v>3000</v>
      </c>
      <c r="F1733" s="325">
        <f t="shared" si="17"/>
        <v>5.3481465106909445</v>
      </c>
      <c r="G1733" s="326">
        <v>560.94200000000001</v>
      </c>
      <c r="H1733" s="182" t="s">
        <v>323</v>
      </c>
      <c r="I1733" s="182" t="s">
        <v>2679</v>
      </c>
      <c r="J1733" s="182" t="s">
        <v>98</v>
      </c>
      <c r="K1733" s="129" t="s">
        <v>1902</v>
      </c>
      <c r="L1733" s="182" t="s">
        <v>155</v>
      </c>
      <c r="M1733" s="436"/>
      <c r="N1733" s="436"/>
      <c r="O1733" s="450"/>
      <c r="P1733" s="450"/>
      <c r="Q1733" s="450"/>
    </row>
    <row r="1734" spans="1:17" ht="15.6">
      <c r="A1734" s="505">
        <v>45891</v>
      </c>
      <c r="B1734" s="182" t="s">
        <v>3115</v>
      </c>
      <c r="C1734" s="182" t="s">
        <v>174</v>
      </c>
      <c r="D1734" s="182" t="s">
        <v>121</v>
      </c>
      <c r="E1734" s="496">
        <v>500</v>
      </c>
      <c r="F1734" s="325">
        <f t="shared" si="17"/>
        <v>0.89135775178182408</v>
      </c>
      <c r="G1734" s="326">
        <v>560.94200000000001</v>
      </c>
      <c r="H1734" s="182" t="s">
        <v>323</v>
      </c>
      <c r="I1734" s="182" t="s">
        <v>2671</v>
      </c>
      <c r="J1734" s="182" t="s">
        <v>98</v>
      </c>
      <c r="K1734" s="129" t="s">
        <v>1902</v>
      </c>
      <c r="L1734" s="182" t="s">
        <v>155</v>
      </c>
      <c r="M1734" s="436"/>
      <c r="N1734" s="436"/>
      <c r="O1734" s="450"/>
      <c r="P1734" s="450"/>
      <c r="Q1734" s="450"/>
    </row>
    <row r="1735" spans="1:17" ht="15.6">
      <c r="A1735" s="505">
        <v>45891</v>
      </c>
      <c r="B1735" s="182" t="s">
        <v>2997</v>
      </c>
      <c r="C1735" s="182" t="s">
        <v>174</v>
      </c>
      <c r="D1735" s="182" t="s">
        <v>121</v>
      </c>
      <c r="E1735" s="496">
        <v>500</v>
      </c>
      <c r="F1735" s="325">
        <f t="shared" si="17"/>
        <v>0.89135775178182408</v>
      </c>
      <c r="G1735" s="326">
        <v>560.94200000000001</v>
      </c>
      <c r="H1735" s="182" t="s">
        <v>323</v>
      </c>
      <c r="I1735" s="182" t="s">
        <v>2671</v>
      </c>
      <c r="J1735" s="182" t="s">
        <v>98</v>
      </c>
      <c r="K1735" s="129" t="s">
        <v>1902</v>
      </c>
      <c r="L1735" s="182" t="s">
        <v>155</v>
      </c>
      <c r="M1735" s="436"/>
      <c r="N1735" s="436"/>
      <c r="O1735" s="450"/>
      <c r="P1735" s="450"/>
      <c r="Q1735" s="450"/>
    </row>
    <row r="1736" spans="1:17" ht="15.6">
      <c r="A1736" s="505">
        <v>45891</v>
      </c>
      <c r="B1736" s="182" t="s">
        <v>2664</v>
      </c>
      <c r="C1736" s="182" t="s">
        <v>368</v>
      </c>
      <c r="D1736" s="522" t="s">
        <v>121</v>
      </c>
      <c r="E1736" s="496">
        <v>1000</v>
      </c>
      <c r="F1736" s="325">
        <f t="shared" si="17"/>
        <v>1.7827155035636482</v>
      </c>
      <c r="G1736" s="326">
        <v>560.94200000000001</v>
      </c>
      <c r="H1736" s="182" t="s">
        <v>323</v>
      </c>
      <c r="I1736" s="182" t="s">
        <v>2678</v>
      </c>
      <c r="J1736" s="182" t="s">
        <v>98</v>
      </c>
      <c r="K1736" s="129" t="s">
        <v>1902</v>
      </c>
      <c r="L1736" s="182" t="s">
        <v>155</v>
      </c>
      <c r="M1736" s="436"/>
      <c r="N1736" s="436"/>
      <c r="O1736" s="450"/>
      <c r="P1736" s="450"/>
      <c r="Q1736" s="450"/>
    </row>
    <row r="1737" spans="1:17" ht="15.6">
      <c r="A1737" s="505">
        <v>45891</v>
      </c>
      <c r="B1737" s="182" t="s">
        <v>3052</v>
      </c>
      <c r="C1737" s="182" t="s">
        <v>174</v>
      </c>
      <c r="D1737" s="522" t="s">
        <v>121</v>
      </c>
      <c r="E1737" s="496">
        <v>500</v>
      </c>
      <c r="F1737" s="325">
        <f t="shared" si="17"/>
        <v>0.89135775178182408</v>
      </c>
      <c r="G1737" s="326">
        <v>560.94200000000001</v>
      </c>
      <c r="H1737" s="182" t="s">
        <v>323</v>
      </c>
      <c r="I1737" s="182" t="s">
        <v>2671</v>
      </c>
      <c r="J1737" s="182" t="s">
        <v>98</v>
      </c>
      <c r="K1737" s="129" t="s">
        <v>1902</v>
      </c>
      <c r="L1737" s="182" t="s">
        <v>155</v>
      </c>
      <c r="M1737" s="436"/>
      <c r="N1737" s="436"/>
      <c r="O1737" s="450"/>
      <c r="P1737" s="450"/>
      <c r="Q1737" s="450"/>
    </row>
    <row r="1738" spans="1:17" ht="15.6">
      <c r="A1738" s="505">
        <v>45891</v>
      </c>
      <c r="B1738" s="182" t="s">
        <v>3046</v>
      </c>
      <c r="C1738" s="182" t="s">
        <v>174</v>
      </c>
      <c r="D1738" s="522" t="s">
        <v>121</v>
      </c>
      <c r="E1738" s="496">
        <v>3000</v>
      </c>
      <c r="F1738" s="325">
        <f t="shared" si="17"/>
        <v>5.3481465106909445</v>
      </c>
      <c r="G1738" s="326">
        <v>560.94200000000001</v>
      </c>
      <c r="H1738" s="182" t="s">
        <v>323</v>
      </c>
      <c r="I1738" s="182" t="s">
        <v>2680</v>
      </c>
      <c r="J1738" s="182" t="s">
        <v>98</v>
      </c>
      <c r="K1738" s="129" t="s">
        <v>1902</v>
      </c>
      <c r="L1738" s="182" t="s">
        <v>155</v>
      </c>
      <c r="M1738" s="436"/>
      <c r="N1738" s="436"/>
      <c r="O1738" s="450"/>
      <c r="P1738" s="450"/>
      <c r="Q1738" s="450"/>
    </row>
    <row r="1739" spans="1:17" ht="15.6">
      <c r="A1739" s="505">
        <v>45891</v>
      </c>
      <c r="B1739" s="182" t="s">
        <v>3116</v>
      </c>
      <c r="C1739" s="182" t="s">
        <v>174</v>
      </c>
      <c r="D1739" s="522" t="s">
        <v>121</v>
      </c>
      <c r="E1739" s="496">
        <v>500</v>
      </c>
      <c r="F1739" s="325">
        <f t="shared" si="17"/>
        <v>0.89135775178182408</v>
      </c>
      <c r="G1739" s="326">
        <v>560.94200000000001</v>
      </c>
      <c r="H1739" s="182" t="s">
        <v>323</v>
      </c>
      <c r="I1739" s="182" t="s">
        <v>2671</v>
      </c>
      <c r="J1739" s="182" t="s">
        <v>98</v>
      </c>
      <c r="K1739" s="129" t="s">
        <v>1902</v>
      </c>
      <c r="L1739" s="182" t="s">
        <v>155</v>
      </c>
      <c r="M1739" s="436"/>
      <c r="N1739" s="436"/>
      <c r="O1739" s="450"/>
      <c r="P1739" s="450"/>
      <c r="Q1739" s="450"/>
    </row>
    <row r="1740" spans="1:17" ht="15.6">
      <c r="A1740" s="505">
        <v>45891</v>
      </c>
      <c r="B1740" s="182" t="s">
        <v>2702</v>
      </c>
      <c r="C1740" s="182" t="s">
        <v>2456</v>
      </c>
      <c r="D1740" s="522" t="s">
        <v>117</v>
      </c>
      <c r="E1740" s="435">
        <v>30000</v>
      </c>
      <c r="F1740" s="325">
        <f t="shared" si="17"/>
        <v>53.481465106909447</v>
      </c>
      <c r="G1740" s="326">
        <v>560.94200000000001</v>
      </c>
      <c r="H1740" s="182" t="s">
        <v>190</v>
      </c>
      <c r="I1740" s="182" t="s">
        <v>2715</v>
      </c>
      <c r="J1740" s="182" t="s">
        <v>98</v>
      </c>
      <c r="K1740" s="129" t="s">
        <v>1902</v>
      </c>
      <c r="L1740" s="182" t="s">
        <v>155</v>
      </c>
      <c r="M1740" s="436"/>
      <c r="N1740" s="436"/>
      <c r="O1740" s="450"/>
      <c r="P1740" s="450"/>
      <c r="Q1740" s="450"/>
    </row>
    <row r="1741" spans="1:17" ht="15.6">
      <c r="A1741" s="505">
        <v>45891</v>
      </c>
      <c r="B1741" s="182" t="s">
        <v>2703</v>
      </c>
      <c r="C1741" s="182" t="s">
        <v>174</v>
      </c>
      <c r="D1741" s="522" t="s">
        <v>117</v>
      </c>
      <c r="E1741" s="435">
        <v>1000</v>
      </c>
      <c r="F1741" s="325">
        <f t="shared" si="17"/>
        <v>1.7827155035636482</v>
      </c>
      <c r="G1741" s="326">
        <v>560.94200000000001</v>
      </c>
      <c r="H1741" s="182" t="s">
        <v>190</v>
      </c>
      <c r="I1741" s="182" t="s">
        <v>2707</v>
      </c>
      <c r="J1741" s="182" t="s">
        <v>98</v>
      </c>
      <c r="K1741" s="129" t="s">
        <v>1902</v>
      </c>
      <c r="L1741" s="182" t="s">
        <v>155</v>
      </c>
      <c r="M1741" s="436"/>
      <c r="N1741" s="436"/>
      <c r="O1741" s="450"/>
      <c r="P1741" s="450"/>
      <c r="Q1741" s="450"/>
    </row>
    <row r="1742" spans="1:17" ht="15.6">
      <c r="A1742" s="505">
        <v>45891</v>
      </c>
      <c r="B1742" s="182" t="s">
        <v>2704</v>
      </c>
      <c r="C1742" s="182" t="s">
        <v>174</v>
      </c>
      <c r="D1742" s="522" t="s">
        <v>117</v>
      </c>
      <c r="E1742" s="435">
        <v>2000</v>
      </c>
      <c r="F1742" s="325">
        <f t="shared" si="17"/>
        <v>3.5654310071272963</v>
      </c>
      <c r="G1742" s="326">
        <v>560.94200000000001</v>
      </c>
      <c r="H1742" s="182" t="s">
        <v>190</v>
      </c>
      <c r="I1742" s="182" t="s">
        <v>2707</v>
      </c>
      <c r="J1742" s="182" t="s">
        <v>98</v>
      </c>
      <c r="K1742" s="129" t="s">
        <v>1902</v>
      </c>
      <c r="L1742" s="182" t="s">
        <v>155</v>
      </c>
      <c r="M1742" s="436"/>
      <c r="N1742" s="436"/>
      <c r="O1742" s="450"/>
      <c r="P1742" s="450"/>
      <c r="Q1742" s="450"/>
    </row>
    <row r="1743" spans="1:17" ht="15.6">
      <c r="A1743" s="506">
        <v>45891</v>
      </c>
      <c r="B1743" s="182" t="s">
        <v>2390</v>
      </c>
      <c r="C1743" s="182" t="s">
        <v>172</v>
      </c>
      <c r="D1743" s="522" t="s">
        <v>118</v>
      </c>
      <c r="E1743" s="435">
        <v>68500</v>
      </c>
      <c r="F1743" s="325">
        <f t="shared" si="17"/>
        <v>122.11601199410991</v>
      </c>
      <c r="G1743" s="326">
        <v>560.94200000000001</v>
      </c>
      <c r="H1743" s="182" t="s">
        <v>193</v>
      </c>
      <c r="I1743" s="182" t="s">
        <v>2391</v>
      </c>
      <c r="J1743" s="182" t="s">
        <v>98</v>
      </c>
      <c r="K1743" s="129" t="s">
        <v>1902</v>
      </c>
      <c r="L1743" s="182" t="s">
        <v>155</v>
      </c>
      <c r="M1743" s="436"/>
      <c r="N1743" s="436"/>
      <c r="O1743" s="450"/>
      <c r="P1743" s="450"/>
      <c r="Q1743" s="450"/>
    </row>
    <row r="1744" spans="1:17" ht="15.6">
      <c r="A1744" s="503">
        <v>45891</v>
      </c>
      <c r="B1744" s="182" t="s">
        <v>2783</v>
      </c>
      <c r="C1744" s="517" t="s">
        <v>196</v>
      </c>
      <c r="D1744" s="528" t="s">
        <v>117</v>
      </c>
      <c r="E1744" s="496">
        <v>500</v>
      </c>
      <c r="F1744" s="325">
        <f t="shared" si="17"/>
        <v>0.89135775178182408</v>
      </c>
      <c r="G1744" s="326">
        <v>560.94200000000001</v>
      </c>
      <c r="H1744" s="517" t="s">
        <v>437</v>
      </c>
      <c r="I1744" s="182" t="s">
        <v>2817</v>
      </c>
      <c r="J1744" s="182" t="s">
        <v>98</v>
      </c>
      <c r="K1744" s="129" t="s">
        <v>1902</v>
      </c>
      <c r="L1744" s="182" t="s">
        <v>155</v>
      </c>
      <c r="M1744" s="436"/>
      <c r="N1744" s="436"/>
      <c r="O1744" s="450"/>
      <c r="P1744" s="450"/>
      <c r="Q1744" s="450"/>
    </row>
    <row r="1745" spans="1:17" ht="15.6">
      <c r="A1745" s="503">
        <v>45891</v>
      </c>
      <c r="B1745" s="182" t="s">
        <v>2784</v>
      </c>
      <c r="C1745" s="517" t="s">
        <v>196</v>
      </c>
      <c r="D1745" s="528" t="s">
        <v>117</v>
      </c>
      <c r="E1745" s="496">
        <v>500</v>
      </c>
      <c r="F1745" s="325">
        <f t="shared" si="17"/>
        <v>0.89135775178182408</v>
      </c>
      <c r="G1745" s="326">
        <v>560.94200000000001</v>
      </c>
      <c r="H1745" s="517" t="s">
        <v>437</v>
      </c>
      <c r="I1745" s="182" t="s">
        <v>2817</v>
      </c>
      <c r="J1745" s="182" t="s">
        <v>98</v>
      </c>
      <c r="K1745" s="129" t="s">
        <v>1902</v>
      </c>
      <c r="L1745" s="182" t="s">
        <v>155</v>
      </c>
      <c r="M1745" s="436"/>
      <c r="N1745" s="436"/>
      <c r="O1745" s="450"/>
      <c r="P1745" s="450"/>
      <c r="Q1745" s="450"/>
    </row>
    <row r="1746" spans="1:17" ht="15.6">
      <c r="A1746" s="503">
        <v>45891</v>
      </c>
      <c r="B1746" s="182" t="s">
        <v>2785</v>
      </c>
      <c r="C1746" s="517" t="s">
        <v>196</v>
      </c>
      <c r="D1746" s="528" t="s">
        <v>117</v>
      </c>
      <c r="E1746" s="496">
        <v>500</v>
      </c>
      <c r="F1746" s="325">
        <f t="shared" si="17"/>
        <v>0.89135775178182408</v>
      </c>
      <c r="G1746" s="326">
        <v>560.94200000000001</v>
      </c>
      <c r="H1746" s="517" t="s">
        <v>437</v>
      </c>
      <c r="I1746" s="182" t="s">
        <v>2817</v>
      </c>
      <c r="J1746" s="182" t="s">
        <v>98</v>
      </c>
      <c r="K1746" s="129" t="s">
        <v>1902</v>
      </c>
      <c r="L1746" s="182" t="s">
        <v>155</v>
      </c>
      <c r="M1746" s="436"/>
      <c r="N1746" s="436"/>
      <c r="O1746" s="450"/>
      <c r="P1746" s="450"/>
      <c r="Q1746" s="450"/>
    </row>
    <row r="1747" spans="1:17" ht="15.6">
      <c r="A1747" s="505">
        <v>45891</v>
      </c>
      <c r="B1747" s="182" t="s">
        <v>2876</v>
      </c>
      <c r="C1747" s="182" t="s">
        <v>174</v>
      </c>
      <c r="D1747" s="522" t="s">
        <v>117</v>
      </c>
      <c r="E1747" s="182">
        <v>500</v>
      </c>
      <c r="F1747" s="325">
        <f t="shared" si="17"/>
        <v>0.89135775178182408</v>
      </c>
      <c r="G1747" s="326">
        <v>560.94200000000001</v>
      </c>
      <c r="H1747" s="182" t="s">
        <v>187</v>
      </c>
      <c r="I1747" s="182" t="s">
        <v>2880</v>
      </c>
      <c r="J1747" s="182" t="s">
        <v>98</v>
      </c>
      <c r="K1747" s="129" t="s">
        <v>1902</v>
      </c>
      <c r="L1747" s="182" t="s">
        <v>155</v>
      </c>
      <c r="M1747" s="436"/>
      <c r="N1747" s="436"/>
      <c r="O1747" s="450"/>
      <c r="P1747" s="450"/>
      <c r="Q1747" s="450"/>
    </row>
    <row r="1748" spans="1:17" ht="15.6">
      <c r="A1748" s="505">
        <v>45891</v>
      </c>
      <c r="B1748" s="182" t="s">
        <v>2877</v>
      </c>
      <c r="C1748" s="182" t="s">
        <v>174</v>
      </c>
      <c r="D1748" s="522" t="s">
        <v>117</v>
      </c>
      <c r="E1748" s="182">
        <v>500</v>
      </c>
      <c r="F1748" s="325">
        <f t="shared" si="17"/>
        <v>0.89135775178182408</v>
      </c>
      <c r="G1748" s="326">
        <v>560.94200000000001</v>
      </c>
      <c r="H1748" s="182" t="s">
        <v>187</v>
      </c>
      <c r="I1748" s="182" t="s">
        <v>2880</v>
      </c>
      <c r="J1748" s="182" t="s">
        <v>98</v>
      </c>
      <c r="K1748" s="129" t="s">
        <v>1902</v>
      </c>
      <c r="L1748" s="182" t="s">
        <v>155</v>
      </c>
      <c r="M1748" s="436"/>
      <c r="N1748" s="436"/>
      <c r="O1748" s="450"/>
      <c r="P1748" s="450"/>
      <c r="Q1748" s="450"/>
    </row>
    <row r="1749" spans="1:17" ht="15.6">
      <c r="A1749" s="508">
        <v>45891</v>
      </c>
      <c r="B1749" s="367" t="s">
        <v>2896</v>
      </c>
      <c r="C1749" s="439" t="s">
        <v>123</v>
      </c>
      <c r="D1749" s="521" t="s">
        <v>117</v>
      </c>
      <c r="E1749" s="435">
        <v>150000</v>
      </c>
      <c r="F1749" s="325">
        <f t="shared" si="17"/>
        <v>267.40732553454723</v>
      </c>
      <c r="G1749" s="326">
        <v>560.94200000000001</v>
      </c>
      <c r="H1749" s="182" t="s">
        <v>148</v>
      </c>
      <c r="I1749" s="182" t="s">
        <v>2918</v>
      </c>
      <c r="J1749" s="182" t="s">
        <v>98</v>
      </c>
      <c r="K1749" s="129" t="s">
        <v>1902</v>
      </c>
      <c r="L1749" s="182" t="s">
        <v>155</v>
      </c>
      <c r="M1749" s="436"/>
      <c r="N1749" s="436"/>
      <c r="O1749" s="450"/>
      <c r="P1749" s="450"/>
      <c r="Q1749" s="450"/>
    </row>
    <row r="1750" spans="1:17" ht="15.6">
      <c r="A1750" s="535">
        <v>45892</v>
      </c>
      <c r="B1750" s="517" t="s">
        <v>2099</v>
      </c>
      <c r="C1750" s="308" t="s">
        <v>174</v>
      </c>
      <c r="D1750" s="529" t="s">
        <v>119</v>
      </c>
      <c r="E1750" s="517">
        <v>1000</v>
      </c>
      <c r="F1750" s="325">
        <f t="shared" si="17"/>
        <v>1.7827155035636482</v>
      </c>
      <c r="G1750" s="326">
        <v>560.94200000000001</v>
      </c>
      <c r="H1750" s="524" t="s">
        <v>153</v>
      </c>
      <c r="I1750" s="525" t="s">
        <v>2494</v>
      </c>
      <c r="J1750" s="182" t="s">
        <v>98</v>
      </c>
      <c r="K1750" s="129" t="s">
        <v>1902</v>
      </c>
      <c r="L1750" s="182" t="s">
        <v>155</v>
      </c>
      <c r="M1750" s="512"/>
      <c r="N1750" s="512"/>
      <c r="O1750" s="450"/>
      <c r="P1750" s="450"/>
      <c r="Q1750" s="450"/>
    </row>
    <row r="1751" spans="1:17" ht="15.6">
      <c r="A1751" s="535">
        <v>45892</v>
      </c>
      <c r="B1751" s="517" t="s">
        <v>2100</v>
      </c>
      <c r="C1751" s="308" t="s">
        <v>174</v>
      </c>
      <c r="D1751" s="529" t="s">
        <v>119</v>
      </c>
      <c r="E1751" s="517">
        <v>1000</v>
      </c>
      <c r="F1751" s="325">
        <f t="shared" si="17"/>
        <v>1.7827155035636482</v>
      </c>
      <c r="G1751" s="326">
        <v>560.94200000000001</v>
      </c>
      <c r="H1751" s="524" t="s">
        <v>153</v>
      </c>
      <c r="I1751" s="525" t="s">
        <v>2494</v>
      </c>
      <c r="J1751" s="182" t="s">
        <v>98</v>
      </c>
      <c r="K1751" s="129" t="s">
        <v>1902</v>
      </c>
      <c r="L1751" s="182" t="s">
        <v>155</v>
      </c>
      <c r="M1751" s="512"/>
      <c r="N1751" s="512"/>
      <c r="O1751" s="450"/>
      <c r="P1751" s="450"/>
      <c r="Q1751" s="450"/>
    </row>
    <row r="1752" spans="1:17" ht="15.6">
      <c r="A1752" s="536">
        <v>45892</v>
      </c>
      <c r="B1752" s="516" t="s">
        <v>2469</v>
      </c>
      <c r="C1752" s="516" t="s">
        <v>174</v>
      </c>
      <c r="D1752" s="518" t="s">
        <v>117</v>
      </c>
      <c r="E1752" s="526">
        <v>500</v>
      </c>
      <c r="F1752" s="325">
        <f t="shared" si="17"/>
        <v>0.89135775178182408</v>
      </c>
      <c r="G1752" s="326">
        <v>560.94200000000001</v>
      </c>
      <c r="H1752" s="177" t="s">
        <v>200</v>
      </c>
      <c r="I1752" s="516" t="s">
        <v>2489</v>
      </c>
      <c r="J1752" s="182" t="s">
        <v>98</v>
      </c>
      <c r="K1752" s="129" t="s">
        <v>1902</v>
      </c>
      <c r="L1752" s="182" t="s">
        <v>155</v>
      </c>
      <c r="M1752" s="512"/>
      <c r="N1752" s="512"/>
      <c r="O1752" s="450"/>
      <c r="P1752" s="450"/>
      <c r="Q1752" s="450"/>
    </row>
    <row r="1753" spans="1:17" ht="15.6">
      <c r="A1753" s="536">
        <v>45892</v>
      </c>
      <c r="B1753" s="516" t="s">
        <v>2470</v>
      </c>
      <c r="C1753" s="516" t="s">
        <v>174</v>
      </c>
      <c r="D1753" s="518" t="s">
        <v>117</v>
      </c>
      <c r="E1753" s="526">
        <v>500</v>
      </c>
      <c r="F1753" s="325">
        <f t="shared" si="17"/>
        <v>0.89135775178182408</v>
      </c>
      <c r="G1753" s="326">
        <v>560.94200000000001</v>
      </c>
      <c r="H1753" s="177" t="s">
        <v>200</v>
      </c>
      <c r="I1753" s="516" t="s">
        <v>2489</v>
      </c>
      <c r="J1753" s="182" t="s">
        <v>98</v>
      </c>
      <c r="K1753" s="129" t="s">
        <v>1902</v>
      </c>
      <c r="L1753" s="182" t="s">
        <v>155</v>
      </c>
      <c r="M1753" s="512"/>
      <c r="N1753" s="512"/>
      <c r="O1753" s="450"/>
      <c r="P1753" s="450"/>
      <c r="Q1753" s="450"/>
    </row>
    <row r="1754" spans="1:17" ht="15.6">
      <c r="A1754" s="536">
        <v>45892</v>
      </c>
      <c r="B1754" s="516" t="s">
        <v>2471</v>
      </c>
      <c r="C1754" s="516" t="s">
        <v>174</v>
      </c>
      <c r="D1754" s="518" t="s">
        <v>117</v>
      </c>
      <c r="E1754" s="526">
        <v>500</v>
      </c>
      <c r="F1754" s="325">
        <f t="shared" si="17"/>
        <v>0.89135775178182408</v>
      </c>
      <c r="G1754" s="326">
        <v>560.94200000000001</v>
      </c>
      <c r="H1754" s="177" t="s">
        <v>200</v>
      </c>
      <c r="I1754" s="516" t="s">
        <v>2489</v>
      </c>
      <c r="J1754" s="182" t="s">
        <v>98</v>
      </c>
      <c r="K1754" s="129" t="s">
        <v>1902</v>
      </c>
      <c r="L1754" s="182" t="s">
        <v>155</v>
      </c>
      <c r="M1754" s="512"/>
      <c r="N1754" s="512"/>
      <c r="O1754" s="450"/>
      <c r="P1754" s="450"/>
      <c r="Q1754" s="450"/>
    </row>
    <row r="1755" spans="1:17" ht="15.6">
      <c r="A1755" s="536">
        <v>45892</v>
      </c>
      <c r="B1755" s="516" t="s">
        <v>2468</v>
      </c>
      <c r="C1755" s="516" t="s">
        <v>174</v>
      </c>
      <c r="D1755" s="518" t="s">
        <v>117</v>
      </c>
      <c r="E1755" s="526">
        <v>500</v>
      </c>
      <c r="F1755" s="325">
        <f t="shared" si="17"/>
        <v>0.89135775178182408</v>
      </c>
      <c r="G1755" s="326">
        <v>560.94200000000001</v>
      </c>
      <c r="H1755" s="177" t="s">
        <v>200</v>
      </c>
      <c r="I1755" s="516" t="s">
        <v>2489</v>
      </c>
      <c r="J1755" s="182" t="s">
        <v>98</v>
      </c>
      <c r="K1755" s="129" t="s">
        <v>1902</v>
      </c>
      <c r="L1755" s="182" t="s">
        <v>155</v>
      </c>
      <c r="M1755" s="512"/>
      <c r="N1755" s="512"/>
      <c r="O1755" s="450"/>
      <c r="P1755" s="450"/>
      <c r="Q1755" s="450"/>
    </row>
    <row r="1756" spans="1:17" ht="15.6">
      <c r="A1756" s="467">
        <v>45892</v>
      </c>
      <c r="B1756" s="177" t="s">
        <v>2472</v>
      </c>
      <c r="C1756" s="177" t="s">
        <v>2456</v>
      </c>
      <c r="D1756" s="510" t="s">
        <v>117</v>
      </c>
      <c r="E1756" s="527">
        <v>105000</v>
      </c>
      <c r="F1756" s="325">
        <f t="shared" si="17"/>
        <v>187.18512787418308</v>
      </c>
      <c r="G1756" s="326">
        <v>560.94200000000001</v>
      </c>
      <c r="H1756" s="177" t="s">
        <v>200</v>
      </c>
      <c r="I1756" s="516" t="s">
        <v>2984</v>
      </c>
      <c r="J1756" s="182" t="s">
        <v>98</v>
      </c>
      <c r="K1756" s="129" t="s">
        <v>1902</v>
      </c>
      <c r="L1756" s="182" t="s">
        <v>155</v>
      </c>
      <c r="M1756" s="512"/>
      <c r="N1756" s="512"/>
      <c r="O1756" s="450"/>
      <c r="P1756" s="450"/>
      <c r="Q1756" s="450"/>
    </row>
    <row r="1757" spans="1:17" ht="15.6">
      <c r="A1757" s="536">
        <v>45892</v>
      </c>
      <c r="B1757" s="516" t="s">
        <v>2473</v>
      </c>
      <c r="C1757" s="516" t="s">
        <v>174</v>
      </c>
      <c r="D1757" s="518" t="s">
        <v>117</v>
      </c>
      <c r="E1757" s="526">
        <v>500</v>
      </c>
      <c r="F1757" s="325">
        <f t="shared" si="17"/>
        <v>0.89135775178182408</v>
      </c>
      <c r="G1757" s="326">
        <v>560.94200000000001</v>
      </c>
      <c r="H1757" s="177" t="s">
        <v>200</v>
      </c>
      <c r="I1757" s="516" t="s">
        <v>2489</v>
      </c>
      <c r="J1757" s="182" t="s">
        <v>98</v>
      </c>
      <c r="K1757" s="129" t="s">
        <v>1902</v>
      </c>
      <c r="L1757" s="182" t="s">
        <v>155</v>
      </c>
      <c r="M1757" s="512"/>
      <c r="N1757" s="512"/>
      <c r="O1757" s="450"/>
      <c r="P1757" s="450"/>
      <c r="Q1757" s="450"/>
    </row>
    <row r="1758" spans="1:17" ht="15.6">
      <c r="A1758" s="467">
        <v>45892</v>
      </c>
      <c r="B1758" s="177" t="s">
        <v>3041</v>
      </c>
      <c r="C1758" s="177" t="s">
        <v>174</v>
      </c>
      <c r="D1758" s="510" t="s">
        <v>121</v>
      </c>
      <c r="E1758" s="177">
        <v>1000</v>
      </c>
      <c r="F1758" s="325">
        <f t="shared" si="17"/>
        <v>1.7827155035636482</v>
      </c>
      <c r="G1758" s="326">
        <v>560.94200000000001</v>
      </c>
      <c r="H1758" s="177" t="s">
        <v>184</v>
      </c>
      <c r="I1758" s="177" t="s">
        <v>2558</v>
      </c>
      <c r="J1758" s="182" t="s">
        <v>98</v>
      </c>
      <c r="K1758" s="129" t="s">
        <v>1902</v>
      </c>
      <c r="L1758" s="182" t="s">
        <v>155</v>
      </c>
      <c r="M1758" s="436"/>
      <c r="N1758" s="436"/>
      <c r="O1758" s="450"/>
      <c r="P1758" s="450"/>
      <c r="Q1758" s="450"/>
    </row>
    <row r="1759" spans="1:17" ht="15.6">
      <c r="A1759" s="467">
        <v>45892</v>
      </c>
      <c r="B1759" s="177" t="s">
        <v>3041</v>
      </c>
      <c r="C1759" s="177" t="s">
        <v>174</v>
      </c>
      <c r="D1759" s="510" t="s">
        <v>121</v>
      </c>
      <c r="E1759" s="177">
        <v>1000</v>
      </c>
      <c r="F1759" s="325">
        <f t="shared" si="17"/>
        <v>1.7827155035636482</v>
      </c>
      <c r="G1759" s="326">
        <v>560.94200000000001</v>
      </c>
      <c r="H1759" s="177" t="s">
        <v>184</v>
      </c>
      <c r="I1759" s="177" t="s">
        <v>2558</v>
      </c>
      <c r="J1759" s="182" t="s">
        <v>98</v>
      </c>
      <c r="K1759" s="129" t="s">
        <v>1902</v>
      </c>
      <c r="L1759" s="182" t="s">
        <v>155</v>
      </c>
      <c r="M1759" s="436"/>
      <c r="N1759" s="436"/>
      <c r="O1759" s="450"/>
      <c r="P1759" s="450"/>
      <c r="Q1759" s="450"/>
    </row>
    <row r="1760" spans="1:17" ht="15.6">
      <c r="A1760" s="467">
        <v>45892</v>
      </c>
      <c r="B1760" s="177" t="s">
        <v>3042</v>
      </c>
      <c r="C1760" s="177" t="s">
        <v>174</v>
      </c>
      <c r="D1760" s="510" t="s">
        <v>121</v>
      </c>
      <c r="E1760" s="177">
        <v>500</v>
      </c>
      <c r="F1760" s="325">
        <f t="shared" si="17"/>
        <v>0.89135775178182408</v>
      </c>
      <c r="G1760" s="326">
        <v>560.94200000000001</v>
      </c>
      <c r="H1760" s="177" t="s">
        <v>184</v>
      </c>
      <c r="I1760" s="177" t="s">
        <v>2558</v>
      </c>
      <c r="J1760" s="182" t="s">
        <v>98</v>
      </c>
      <c r="K1760" s="129" t="s">
        <v>1902</v>
      </c>
      <c r="L1760" s="182" t="s">
        <v>155</v>
      </c>
      <c r="M1760" s="436"/>
      <c r="N1760" s="436"/>
      <c r="O1760" s="450"/>
      <c r="P1760" s="450"/>
      <c r="Q1760" s="450"/>
    </row>
    <row r="1761" spans="1:17" ht="15.6">
      <c r="A1761" s="467">
        <v>45892</v>
      </c>
      <c r="B1761" s="177" t="s">
        <v>3039</v>
      </c>
      <c r="C1761" s="177" t="s">
        <v>174</v>
      </c>
      <c r="D1761" s="510" t="s">
        <v>121</v>
      </c>
      <c r="E1761" s="177">
        <v>1000</v>
      </c>
      <c r="F1761" s="325">
        <f t="shared" si="17"/>
        <v>1.7827155035636482</v>
      </c>
      <c r="G1761" s="326">
        <v>560.94200000000001</v>
      </c>
      <c r="H1761" s="177" t="s">
        <v>184</v>
      </c>
      <c r="I1761" s="177" t="s">
        <v>2558</v>
      </c>
      <c r="J1761" s="182" t="s">
        <v>98</v>
      </c>
      <c r="K1761" s="129" t="s">
        <v>1902</v>
      </c>
      <c r="L1761" s="182" t="s">
        <v>155</v>
      </c>
      <c r="M1761" s="436"/>
      <c r="N1761" s="436"/>
      <c r="O1761" s="450"/>
      <c r="P1761" s="450"/>
      <c r="Q1761" s="450"/>
    </row>
    <row r="1762" spans="1:17" ht="15.6">
      <c r="A1762" s="467">
        <v>45892</v>
      </c>
      <c r="B1762" s="177" t="s">
        <v>3037</v>
      </c>
      <c r="C1762" s="177" t="s">
        <v>174</v>
      </c>
      <c r="D1762" s="510" t="s">
        <v>121</v>
      </c>
      <c r="E1762" s="177">
        <v>500</v>
      </c>
      <c r="F1762" s="325">
        <f t="shared" si="17"/>
        <v>0.89135775178182408</v>
      </c>
      <c r="G1762" s="326">
        <v>560.94200000000001</v>
      </c>
      <c r="H1762" s="177" t="s">
        <v>184</v>
      </c>
      <c r="I1762" s="177" t="s">
        <v>2558</v>
      </c>
      <c r="J1762" s="182" t="s">
        <v>98</v>
      </c>
      <c r="K1762" s="129" t="s">
        <v>1902</v>
      </c>
      <c r="L1762" s="182" t="s">
        <v>155</v>
      </c>
      <c r="M1762" s="436"/>
      <c r="N1762" s="436"/>
      <c r="O1762" s="450"/>
      <c r="P1762" s="450"/>
      <c r="Q1762" s="450"/>
    </row>
    <row r="1763" spans="1:17" ht="15.6">
      <c r="A1763" s="467">
        <v>45892</v>
      </c>
      <c r="B1763" s="177" t="s">
        <v>3039</v>
      </c>
      <c r="C1763" s="177" t="s">
        <v>174</v>
      </c>
      <c r="D1763" s="510" t="s">
        <v>121</v>
      </c>
      <c r="E1763" s="177">
        <v>1000</v>
      </c>
      <c r="F1763" s="325">
        <f t="shared" si="17"/>
        <v>1.7827155035636482</v>
      </c>
      <c r="G1763" s="326">
        <v>560.94200000000001</v>
      </c>
      <c r="H1763" s="177" t="s">
        <v>184</v>
      </c>
      <c r="I1763" s="177" t="s">
        <v>2558</v>
      </c>
      <c r="J1763" s="182" t="s">
        <v>98</v>
      </c>
      <c r="K1763" s="129" t="s">
        <v>1902</v>
      </c>
      <c r="L1763" s="182" t="s">
        <v>155</v>
      </c>
      <c r="M1763" s="436"/>
      <c r="N1763" s="436"/>
      <c r="O1763" s="450"/>
      <c r="P1763" s="450"/>
      <c r="Q1763" s="450"/>
    </row>
    <row r="1764" spans="1:17" ht="15.6">
      <c r="A1764" s="505">
        <v>45892</v>
      </c>
      <c r="B1764" s="182" t="s">
        <v>3037</v>
      </c>
      <c r="C1764" s="182" t="s">
        <v>174</v>
      </c>
      <c r="D1764" s="510" t="s">
        <v>121</v>
      </c>
      <c r="E1764" s="182">
        <v>500</v>
      </c>
      <c r="F1764" s="325">
        <f t="shared" si="17"/>
        <v>0.89135775178182408</v>
      </c>
      <c r="G1764" s="326">
        <v>560.94200000000001</v>
      </c>
      <c r="H1764" s="182" t="s">
        <v>175</v>
      </c>
      <c r="I1764" s="182" t="s">
        <v>2588</v>
      </c>
      <c r="J1764" s="182" t="s">
        <v>98</v>
      </c>
      <c r="K1764" s="129" t="s">
        <v>1902</v>
      </c>
      <c r="L1764" s="182" t="s">
        <v>155</v>
      </c>
      <c r="M1764" s="436"/>
      <c r="N1764" s="436"/>
      <c r="O1764" s="450"/>
      <c r="P1764" s="450"/>
      <c r="Q1764" s="450"/>
    </row>
    <row r="1765" spans="1:17" ht="15.6">
      <c r="A1765" s="505">
        <v>45892</v>
      </c>
      <c r="B1765" s="182" t="s">
        <v>3083</v>
      </c>
      <c r="C1765" s="182" t="s">
        <v>174</v>
      </c>
      <c r="D1765" s="510" t="s">
        <v>121</v>
      </c>
      <c r="E1765" s="182">
        <v>500</v>
      </c>
      <c r="F1765" s="325">
        <f t="shared" si="17"/>
        <v>0.89135775178182408</v>
      </c>
      <c r="G1765" s="326">
        <v>560.94200000000001</v>
      </c>
      <c r="H1765" s="182" t="s">
        <v>175</v>
      </c>
      <c r="I1765" s="182" t="s">
        <v>2588</v>
      </c>
      <c r="J1765" s="182" t="s">
        <v>98</v>
      </c>
      <c r="K1765" s="129" t="s">
        <v>1902</v>
      </c>
      <c r="L1765" s="182" t="s">
        <v>155</v>
      </c>
      <c r="M1765" s="436"/>
      <c r="N1765" s="436"/>
      <c r="O1765" s="450"/>
      <c r="P1765" s="450"/>
      <c r="Q1765" s="450"/>
    </row>
    <row r="1766" spans="1:17" ht="15.6">
      <c r="A1766" s="505">
        <v>45892</v>
      </c>
      <c r="B1766" s="182" t="s">
        <v>3005</v>
      </c>
      <c r="C1766" s="182" t="s">
        <v>174</v>
      </c>
      <c r="D1766" s="510" t="s">
        <v>121</v>
      </c>
      <c r="E1766" s="182">
        <v>500</v>
      </c>
      <c r="F1766" s="325">
        <f t="shared" si="17"/>
        <v>0.89135775178182408</v>
      </c>
      <c r="G1766" s="326">
        <v>560.94200000000001</v>
      </c>
      <c r="H1766" s="182" t="s">
        <v>175</v>
      </c>
      <c r="I1766" s="182" t="s">
        <v>2588</v>
      </c>
      <c r="J1766" s="182" t="s">
        <v>98</v>
      </c>
      <c r="K1766" s="129" t="s">
        <v>1902</v>
      </c>
      <c r="L1766" s="182" t="s">
        <v>155</v>
      </c>
      <c r="M1766" s="436"/>
      <c r="N1766" s="436"/>
      <c r="O1766" s="450"/>
      <c r="P1766" s="450"/>
      <c r="Q1766" s="450"/>
    </row>
    <row r="1767" spans="1:17" ht="15.6">
      <c r="A1767" s="505">
        <v>45892</v>
      </c>
      <c r="B1767" s="182" t="s">
        <v>3005</v>
      </c>
      <c r="C1767" s="182" t="s">
        <v>174</v>
      </c>
      <c r="D1767" s="510" t="s">
        <v>121</v>
      </c>
      <c r="E1767" s="182">
        <v>500</v>
      </c>
      <c r="F1767" s="325">
        <f t="shared" si="17"/>
        <v>0.89135775178182408</v>
      </c>
      <c r="G1767" s="326">
        <v>560.94200000000001</v>
      </c>
      <c r="H1767" s="182" t="s">
        <v>175</v>
      </c>
      <c r="I1767" s="182" t="s">
        <v>2588</v>
      </c>
      <c r="J1767" s="182" t="s">
        <v>98</v>
      </c>
      <c r="K1767" s="129" t="s">
        <v>1902</v>
      </c>
      <c r="L1767" s="182" t="s">
        <v>155</v>
      </c>
      <c r="M1767" s="436"/>
      <c r="N1767" s="436"/>
      <c r="O1767" s="450"/>
      <c r="P1767" s="450"/>
      <c r="Q1767" s="450"/>
    </row>
    <row r="1768" spans="1:17" ht="15.6">
      <c r="A1768" s="505">
        <v>45892</v>
      </c>
      <c r="B1768" s="182" t="s">
        <v>3005</v>
      </c>
      <c r="C1768" s="182" t="s">
        <v>174</v>
      </c>
      <c r="D1768" s="510" t="s">
        <v>121</v>
      </c>
      <c r="E1768" s="182">
        <v>500</v>
      </c>
      <c r="F1768" s="325">
        <f t="shared" si="17"/>
        <v>0.89135775178182408</v>
      </c>
      <c r="G1768" s="326">
        <v>560.94200000000001</v>
      </c>
      <c r="H1768" s="182" t="s">
        <v>175</v>
      </c>
      <c r="I1768" s="182" t="s">
        <v>2588</v>
      </c>
      <c r="J1768" s="182" t="s">
        <v>98</v>
      </c>
      <c r="K1768" s="129" t="s">
        <v>1902</v>
      </c>
      <c r="L1768" s="182" t="s">
        <v>155</v>
      </c>
      <c r="M1768" s="436"/>
      <c r="N1768" s="436"/>
      <c r="O1768" s="450"/>
      <c r="P1768" s="450"/>
      <c r="Q1768" s="450"/>
    </row>
    <row r="1769" spans="1:17" ht="15.6">
      <c r="A1769" s="505">
        <v>45892</v>
      </c>
      <c r="B1769" s="182" t="s">
        <v>2992</v>
      </c>
      <c r="C1769" s="182" t="s">
        <v>2456</v>
      </c>
      <c r="D1769" s="177" t="s">
        <v>121</v>
      </c>
      <c r="E1769" s="182">
        <v>105000</v>
      </c>
      <c r="F1769" s="325">
        <f t="shared" si="17"/>
        <v>187.18512787418308</v>
      </c>
      <c r="G1769" s="326">
        <v>560.94200000000001</v>
      </c>
      <c r="H1769" s="182" t="s">
        <v>175</v>
      </c>
      <c r="I1769" s="182" t="s">
        <v>2601</v>
      </c>
      <c r="J1769" s="182" t="s">
        <v>98</v>
      </c>
      <c r="K1769" s="129" t="s">
        <v>1902</v>
      </c>
      <c r="L1769" s="182" t="s">
        <v>155</v>
      </c>
      <c r="M1769" s="436"/>
      <c r="N1769" s="436"/>
      <c r="O1769" s="450"/>
      <c r="P1769" s="450"/>
      <c r="Q1769" s="450"/>
    </row>
    <row r="1770" spans="1:17" ht="15.6">
      <c r="A1770" s="505">
        <v>45892</v>
      </c>
      <c r="B1770" s="182" t="s">
        <v>3067</v>
      </c>
      <c r="C1770" s="182" t="s">
        <v>177</v>
      </c>
      <c r="D1770" s="182" t="s">
        <v>121</v>
      </c>
      <c r="E1770" s="182">
        <v>30000</v>
      </c>
      <c r="F1770" s="325">
        <f t="shared" si="17"/>
        <v>53.481465106909447</v>
      </c>
      <c r="G1770" s="326">
        <v>560.94200000000001</v>
      </c>
      <c r="H1770" s="182" t="s">
        <v>317</v>
      </c>
      <c r="I1770" s="182" t="s">
        <v>2643</v>
      </c>
      <c r="J1770" s="182" t="s">
        <v>98</v>
      </c>
      <c r="K1770" s="129" t="s">
        <v>1902</v>
      </c>
      <c r="L1770" s="182" t="s">
        <v>155</v>
      </c>
      <c r="M1770" s="436"/>
      <c r="N1770" s="436"/>
      <c r="O1770" s="450"/>
      <c r="P1770" s="450"/>
      <c r="Q1770" s="450"/>
    </row>
    <row r="1771" spans="1:17" ht="15.6">
      <c r="A1771" s="505">
        <v>45892</v>
      </c>
      <c r="B1771" s="182" t="s">
        <v>3005</v>
      </c>
      <c r="C1771" s="182" t="s">
        <v>174</v>
      </c>
      <c r="D1771" s="182" t="s">
        <v>121</v>
      </c>
      <c r="E1771" s="182">
        <v>500</v>
      </c>
      <c r="F1771" s="325">
        <f t="shared" ref="F1771:F1834" si="18">E1771/G1771</f>
        <v>0.89135775178182408</v>
      </c>
      <c r="G1771" s="326">
        <v>560.94200000000001</v>
      </c>
      <c r="H1771" s="182" t="s">
        <v>317</v>
      </c>
      <c r="I1771" s="182" t="s">
        <v>2632</v>
      </c>
      <c r="J1771" s="182" t="s">
        <v>98</v>
      </c>
      <c r="K1771" s="129" t="s">
        <v>1902</v>
      </c>
      <c r="L1771" s="182" t="s">
        <v>155</v>
      </c>
      <c r="M1771" s="436"/>
      <c r="N1771" s="436"/>
      <c r="O1771" s="450"/>
      <c r="P1771" s="450"/>
      <c r="Q1771" s="450"/>
    </row>
    <row r="1772" spans="1:17" ht="15.6">
      <c r="A1772" s="505">
        <v>45892</v>
      </c>
      <c r="B1772" s="182" t="s">
        <v>3066</v>
      </c>
      <c r="C1772" s="182" t="s">
        <v>174</v>
      </c>
      <c r="D1772" s="182" t="s">
        <v>121</v>
      </c>
      <c r="E1772" s="182">
        <v>5000</v>
      </c>
      <c r="F1772" s="325">
        <f t="shared" si="18"/>
        <v>8.9135775178182417</v>
      </c>
      <c r="G1772" s="326">
        <v>560.94200000000001</v>
      </c>
      <c r="H1772" s="182" t="s">
        <v>317</v>
      </c>
      <c r="I1772" s="182" t="s">
        <v>2644</v>
      </c>
      <c r="J1772" s="182" t="s">
        <v>98</v>
      </c>
      <c r="K1772" s="129" t="s">
        <v>1902</v>
      </c>
      <c r="L1772" s="182" t="s">
        <v>155</v>
      </c>
      <c r="M1772" s="436"/>
      <c r="N1772" s="436"/>
      <c r="O1772" s="450"/>
      <c r="P1772" s="450"/>
      <c r="Q1772" s="450"/>
    </row>
    <row r="1773" spans="1:17" ht="15.6">
      <c r="A1773" s="505">
        <v>45892</v>
      </c>
      <c r="B1773" s="182" t="s">
        <v>3042</v>
      </c>
      <c r="C1773" s="182" t="s">
        <v>174</v>
      </c>
      <c r="D1773" s="182" t="s">
        <v>121</v>
      </c>
      <c r="E1773" s="182">
        <v>500</v>
      </c>
      <c r="F1773" s="325">
        <f t="shared" si="18"/>
        <v>0.89135775178182408</v>
      </c>
      <c r="G1773" s="326">
        <v>560.94200000000001</v>
      </c>
      <c r="H1773" s="182" t="s">
        <v>317</v>
      </c>
      <c r="I1773" s="182" t="s">
        <v>2632</v>
      </c>
      <c r="J1773" s="182" t="s">
        <v>98</v>
      </c>
      <c r="K1773" s="129" t="s">
        <v>1902</v>
      </c>
      <c r="L1773" s="182" t="s">
        <v>155</v>
      </c>
      <c r="M1773" s="436"/>
      <c r="N1773" s="436"/>
      <c r="O1773" s="450"/>
      <c r="P1773" s="450"/>
      <c r="Q1773" s="450"/>
    </row>
    <row r="1774" spans="1:17" ht="15.6">
      <c r="A1774" s="505">
        <v>45892</v>
      </c>
      <c r="B1774" s="182" t="s">
        <v>3042</v>
      </c>
      <c r="C1774" s="182" t="s">
        <v>174</v>
      </c>
      <c r="D1774" s="182" t="s">
        <v>121</v>
      </c>
      <c r="E1774" s="182">
        <v>500</v>
      </c>
      <c r="F1774" s="325">
        <f t="shared" si="18"/>
        <v>0.89135775178182408</v>
      </c>
      <c r="G1774" s="326">
        <v>560.94200000000001</v>
      </c>
      <c r="H1774" s="182" t="s">
        <v>317</v>
      </c>
      <c r="I1774" s="182" t="s">
        <v>2632</v>
      </c>
      <c r="J1774" s="182" t="s">
        <v>98</v>
      </c>
      <c r="K1774" s="129" t="s">
        <v>1902</v>
      </c>
      <c r="L1774" s="182" t="s">
        <v>155</v>
      </c>
      <c r="M1774" s="436"/>
      <c r="N1774" s="436"/>
      <c r="O1774" s="450"/>
      <c r="P1774" s="450"/>
      <c r="Q1774" s="450"/>
    </row>
    <row r="1775" spans="1:17" ht="15.6">
      <c r="A1775" s="505">
        <v>45892</v>
      </c>
      <c r="B1775" s="182" t="s">
        <v>3005</v>
      </c>
      <c r="C1775" s="182" t="s">
        <v>174</v>
      </c>
      <c r="D1775" s="182" t="s">
        <v>121</v>
      </c>
      <c r="E1775" s="182">
        <v>500</v>
      </c>
      <c r="F1775" s="325">
        <f t="shared" si="18"/>
        <v>0.89135775178182408</v>
      </c>
      <c r="G1775" s="326">
        <v>560.94200000000001</v>
      </c>
      <c r="H1775" s="182" t="s">
        <v>317</v>
      </c>
      <c r="I1775" s="182" t="s">
        <v>2632</v>
      </c>
      <c r="J1775" s="182" t="s">
        <v>98</v>
      </c>
      <c r="K1775" s="129" t="s">
        <v>1902</v>
      </c>
      <c r="L1775" s="182" t="s">
        <v>155</v>
      </c>
      <c r="M1775" s="436"/>
      <c r="N1775" s="436"/>
      <c r="O1775" s="450"/>
      <c r="P1775" s="450"/>
      <c r="Q1775" s="450"/>
    </row>
    <row r="1776" spans="1:17" ht="15.6">
      <c r="A1776" s="505">
        <v>45892</v>
      </c>
      <c r="B1776" s="182" t="s">
        <v>3083</v>
      </c>
      <c r="C1776" s="182" t="s">
        <v>174</v>
      </c>
      <c r="D1776" s="182" t="s">
        <v>121</v>
      </c>
      <c r="E1776" s="182">
        <v>500</v>
      </c>
      <c r="F1776" s="325">
        <f t="shared" si="18"/>
        <v>0.89135775178182408</v>
      </c>
      <c r="G1776" s="326">
        <v>560.94200000000001</v>
      </c>
      <c r="H1776" s="182" t="s">
        <v>317</v>
      </c>
      <c r="I1776" s="182" t="s">
        <v>2632</v>
      </c>
      <c r="J1776" s="182" t="s">
        <v>98</v>
      </c>
      <c r="K1776" s="129" t="s">
        <v>1902</v>
      </c>
      <c r="L1776" s="182" t="s">
        <v>155</v>
      </c>
      <c r="M1776" s="436"/>
      <c r="N1776" s="436"/>
      <c r="O1776" s="450"/>
      <c r="P1776" s="450"/>
      <c r="Q1776" s="450"/>
    </row>
    <row r="1777" spans="1:17" ht="15.6">
      <c r="A1777" s="505">
        <v>45892</v>
      </c>
      <c r="B1777" s="182" t="s">
        <v>3057</v>
      </c>
      <c r="C1777" s="182" t="s">
        <v>174</v>
      </c>
      <c r="D1777" s="182" t="s">
        <v>121</v>
      </c>
      <c r="E1777" s="496">
        <v>500</v>
      </c>
      <c r="F1777" s="325">
        <f t="shared" si="18"/>
        <v>0.89135775178182408</v>
      </c>
      <c r="G1777" s="326">
        <v>560.94200000000001</v>
      </c>
      <c r="H1777" s="182" t="s">
        <v>323</v>
      </c>
      <c r="I1777" s="182" t="s">
        <v>2671</v>
      </c>
      <c r="J1777" s="182" t="s">
        <v>98</v>
      </c>
      <c r="K1777" s="129" t="s">
        <v>1902</v>
      </c>
      <c r="L1777" s="182" t="s">
        <v>155</v>
      </c>
      <c r="M1777" s="436"/>
      <c r="N1777" s="436"/>
      <c r="O1777" s="450"/>
      <c r="P1777" s="450"/>
      <c r="Q1777" s="450"/>
    </row>
    <row r="1778" spans="1:17" ht="15.6">
      <c r="A1778" s="505">
        <v>45892</v>
      </c>
      <c r="B1778" s="182" t="s">
        <v>3046</v>
      </c>
      <c r="C1778" s="182" t="s">
        <v>174</v>
      </c>
      <c r="D1778" s="182" t="s">
        <v>121</v>
      </c>
      <c r="E1778" s="496">
        <v>4000</v>
      </c>
      <c r="F1778" s="325">
        <f t="shared" si="18"/>
        <v>7.1308620142545927</v>
      </c>
      <c r="G1778" s="326">
        <v>560.94200000000001</v>
      </c>
      <c r="H1778" s="182" t="s">
        <v>323</v>
      </c>
      <c r="I1778" s="182" t="s">
        <v>2681</v>
      </c>
      <c r="J1778" s="182" t="s">
        <v>98</v>
      </c>
      <c r="K1778" s="129" t="s">
        <v>1902</v>
      </c>
      <c r="L1778" s="182" t="s">
        <v>155</v>
      </c>
      <c r="M1778" s="436"/>
      <c r="N1778" s="436"/>
      <c r="O1778" s="450"/>
      <c r="P1778" s="450"/>
      <c r="Q1778" s="450"/>
    </row>
    <row r="1779" spans="1:17" ht="15.6">
      <c r="A1779" s="505">
        <v>45892</v>
      </c>
      <c r="B1779" s="182" t="s">
        <v>3060</v>
      </c>
      <c r="C1779" s="182" t="s">
        <v>174</v>
      </c>
      <c r="D1779" s="182" t="s">
        <v>121</v>
      </c>
      <c r="E1779" s="496">
        <v>500</v>
      </c>
      <c r="F1779" s="325">
        <f t="shared" si="18"/>
        <v>0.89135775178182408</v>
      </c>
      <c r="G1779" s="326">
        <v>560.94200000000001</v>
      </c>
      <c r="H1779" s="182" t="s">
        <v>323</v>
      </c>
      <c r="I1779" s="182" t="s">
        <v>2671</v>
      </c>
      <c r="J1779" s="182" t="s">
        <v>98</v>
      </c>
      <c r="K1779" s="129" t="s">
        <v>1902</v>
      </c>
      <c r="L1779" s="182" t="s">
        <v>155</v>
      </c>
      <c r="M1779" s="436"/>
      <c r="N1779" s="436"/>
      <c r="O1779" s="450"/>
      <c r="P1779" s="450"/>
      <c r="Q1779" s="450"/>
    </row>
    <row r="1780" spans="1:17" ht="15.6">
      <c r="A1780" s="505">
        <v>45892</v>
      </c>
      <c r="B1780" s="182" t="s">
        <v>2664</v>
      </c>
      <c r="C1780" s="182" t="s">
        <v>368</v>
      </c>
      <c r="D1780" s="182" t="s">
        <v>121</v>
      </c>
      <c r="E1780" s="496">
        <v>1000</v>
      </c>
      <c r="F1780" s="325">
        <f t="shared" si="18"/>
        <v>1.7827155035636482</v>
      </c>
      <c r="G1780" s="326">
        <v>560.94200000000001</v>
      </c>
      <c r="H1780" s="182" t="s">
        <v>323</v>
      </c>
      <c r="I1780" s="182" t="s">
        <v>2678</v>
      </c>
      <c r="J1780" s="182" t="s">
        <v>98</v>
      </c>
      <c r="K1780" s="129" t="s">
        <v>1902</v>
      </c>
      <c r="L1780" s="182" t="s">
        <v>155</v>
      </c>
      <c r="M1780" s="436"/>
      <c r="N1780" s="436"/>
      <c r="O1780" s="450"/>
      <c r="P1780" s="450"/>
      <c r="Q1780" s="450"/>
    </row>
    <row r="1781" spans="1:17" ht="15.6">
      <c r="A1781" s="505">
        <v>45892</v>
      </c>
      <c r="B1781" s="182" t="s">
        <v>3154</v>
      </c>
      <c r="C1781" s="182" t="s">
        <v>174</v>
      </c>
      <c r="D1781" s="182" t="s">
        <v>121</v>
      </c>
      <c r="E1781" s="496">
        <v>500</v>
      </c>
      <c r="F1781" s="325">
        <f t="shared" si="18"/>
        <v>0.89135775178182408</v>
      </c>
      <c r="G1781" s="326">
        <v>560.94200000000001</v>
      </c>
      <c r="H1781" s="182" t="s">
        <v>323</v>
      </c>
      <c r="I1781" s="182" t="s">
        <v>2671</v>
      </c>
      <c r="J1781" s="182" t="s">
        <v>98</v>
      </c>
      <c r="K1781" s="129" t="s">
        <v>1902</v>
      </c>
      <c r="L1781" s="182" t="s">
        <v>155</v>
      </c>
      <c r="M1781" s="436"/>
      <c r="N1781" s="436"/>
      <c r="O1781" s="450"/>
      <c r="P1781" s="450"/>
      <c r="Q1781" s="450"/>
    </row>
    <row r="1782" spans="1:17" ht="15.6">
      <c r="A1782" s="505">
        <v>45892</v>
      </c>
      <c r="B1782" s="182" t="s">
        <v>2997</v>
      </c>
      <c r="C1782" s="182" t="s">
        <v>174</v>
      </c>
      <c r="D1782" s="182" t="s">
        <v>121</v>
      </c>
      <c r="E1782" s="496">
        <v>500</v>
      </c>
      <c r="F1782" s="325">
        <f t="shared" si="18"/>
        <v>0.89135775178182408</v>
      </c>
      <c r="G1782" s="326">
        <v>560.94200000000001</v>
      </c>
      <c r="H1782" s="182" t="s">
        <v>323</v>
      </c>
      <c r="I1782" s="182" t="s">
        <v>2671</v>
      </c>
      <c r="J1782" s="182" t="s">
        <v>98</v>
      </c>
      <c r="K1782" s="129" t="s">
        <v>1902</v>
      </c>
      <c r="L1782" s="182" t="s">
        <v>155</v>
      </c>
      <c r="M1782" s="436"/>
      <c r="N1782" s="436"/>
      <c r="O1782" s="450"/>
      <c r="P1782" s="450"/>
      <c r="Q1782" s="450"/>
    </row>
    <row r="1783" spans="1:17" ht="15.6">
      <c r="A1783" s="505">
        <v>45892</v>
      </c>
      <c r="B1783" s="182" t="s">
        <v>3111</v>
      </c>
      <c r="C1783" s="182" t="s">
        <v>174</v>
      </c>
      <c r="D1783" s="182" t="s">
        <v>121</v>
      </c>
      <c r="E1783" s="496">
        <v>4000</v>
      </c>
      <c r="F1783" s="325">
        <f t="shared" si="18"/>
        <v>7.1308620142545927</v>
      </c>
      <c r="G1783" s="326">
        <v>560.94200000000001</v>
      </c>
      <c r="H1783" s="182" t="s">
        <v>323</v>
      </c>
      <c r="I1783" s="182" t="s">
        <v>2682</v>
      </c>
      <c r="J1783" s="182" t="s">
        <v>98</v>
      </c>
      <c r="K1783" s="129" t="s">
        <v>1902</v>
      </c>
      <c r="L1783" s="182" t="s">
        <v>155</v>
      </c>
      <c r="M1783" s="436"/>
      <c r="N1783" s="436"/>
      <c r="O1783" s="450"/>
      <c r="P1783" s="450"/>
      <c r="Q1783" s="450"/>
    </row>
    <row r="1784" spans="1:17" ht="15.6">
      <c r="A1784" s="505">
        <v>45892</v>
      </c>
      <c r="B1784" s="182" t="s">
        <v>3060</v>
      </c>
      <c r="C1784" s="182" t="s">
        <v>174</v>
      </c>
      <c r="D1784" s="182" t="s">
        <v>121</v>
      </c>
      <c r="E1784" s="496">
        <v>1000</v>
      </c>
      <c r="F1784" s="325">
        <f t="shared" si="18"/>
        <v>1.7827155035636482</v>
      </c>
      <c r="G1784" s="326">
        <v>560.94200000000001</v>
      </c>
      <c r="H1784" s="182" t="s">
        <v>323</v>
      </c>
      <c r="I1784" s="182" t="s">
        <v>2671</v>
      </c>
      <c r="J1784" s="182" t="s">
        <v>98</v>
      </c>
      <c r="K1784" s="129" t="s">
        <v>1902</v>
      </c>
      <c r="L1784" s="182" t="s">
        <v>155</v>
      </c>
      <c r="M1784" s="436"/>
      <c r="N1784" s="436"/>
      <c r="O1784" s="450"/>
      <c r="P1784" s="450"/>
      <c r="Q1784" s="450"/>
    </row>
    <row r="1785" spans="1:17" ht="15.6">
      <c r="A1785" s="505">
        <v>45892</v>
      </c>
      <c r="B1785" s="182" t="s">
        <v>3046</v>
      </c>
      <c r="C1785" s="182" t="s">
        <v>174</v>
      </c>
      <c r="D1785" s="182" t="s">
        <v>121</v>
      </c>
      <c r="E1785" s="496">
        <v>12000</v>
      </c>
      <c r="F1785" s="325">
        <f t="shared" si="18"/>
        <v>21.392586042763778</v>
      </c>
      <c r="G1785" s="326">
        <v>560.94200000000001</v>
      </c>
      <c r="H1785" s="182" t="s">
        <v>323</v>
      </c>
      <c r="I1785" s="182" t="s">
        <v>2683</v>
      </c>
      <c r="J1785" s="182" t="s">
        <v>98</v>
      </c>
      <c r="K1785" s="129" t="s">
        <v>1902</v>
      </c>
      <c r="L1785" s="182" t="s">
        <v>155</v>
      </c>
      <c r="M1785" s="436"/>
      <c r="N1785" s="436"/>
      <c r="O1785" s="450"/>
      <c r="P1785" s="450"/>
      <c r="Q1785" s="450"/>
    </row>
    <row r="1786" spans="1:17" ht="15.6">
      <c r="A1786" s="505">
        <v>45892</v>
      </c>
      <c r="B1786" s="182" t="s">
        <v>2997</v>
      </c>
      <c r="C1786" s="182" t="s">
        <v>174</v>
      </c>
      <c r="D1786" s="182" t="s">
        <v>121</v>
      </c>
      <c r="E1786" s="496">
        <v>1000</v>
      </c>
      <c r="F1786" s="325">
        <f t="shared" si="18"/>
        <v>1.7827155035636482</v>
      </c>
      <c r="G1786" s="326">
        <v>560.94200000000001</v>
      </c>
      <c r="H1786" s="182" t="s">
        <v>323</v>
      </c>
      <c r="I1786" s="182" t="s">
        <v>2671</v>
      </c>
      <c r="J1786" s="182" t="s">
        <v>98</v>
      </c>
      <c r="K1786" s="129" t="s">
        <v>1902</v>
      </c>
      <c r="L1786" s="182" t="s">
        <v>155</v>
      </c>
      <c r="M1786" s="436"/>
      <c r="N1786" s="436"/>
      <c r="O1786" s="450"/>
      <c r="P1786" s="450"/>
      <c r="Q1786" s="450"/>
    </row>
    <row r="1787" spans="1:17" ht="15.6">
      <c r="A1787" s="503">
        <v>45892</v>
      </c>
      <c r="B1787" s="182" t="s">
        <v>2786</v>
      </c>
      <c r="C1787" s="517" t="s">
        <v>196</v>
      </c>
      <c r="D1787" s="517" t="s">
        <v>117</v>
      </c>
      <c r="E1787" s="496">
        <v>500</v>
      </c>
      <c r="F1787" s="325">
        <f t="shared" si="18"/>
        <v>0.89135775178182408</v>
      </c>
      <c r="G1787" s="326">
        <v>560.94200000000001</v>
      </c>
      <c r="H1787" s="517" t="s">
        <v>437</v>
      </c>
      <c r="I1787" s="182" t="s">
        <v>2817</v>
      </c>
      <c r="J1787" s="182" t="s">
        <v>98</v>
      </c>
      <c r="K1787" s="129" t="s">
        <v>1902</v>
      </c>
      <c r="L1787" s="182" t="s">
        <v>155</v>
      </c>
      <c r="M1787" s="436"/>
      <c r="N1787" s="436"/>
      <c r="O1787" s="450"/>
      <c r="P1787" s="450"/>
      <c r="Q1787" s="450"/>
    </row>
    <row r="1788" spans="1:17" ht="15.6">
      <c r="A1788" s="503">
        <v>45892</v>
      </c>
      <c r="B1788" s="182" t="s">
        <v>2787</v>
      </c>
      <c r="C1788" s="517" t="s">
        <v>196</v>
      </c>
      <c r="D1788" s="517" t="s">
        <v>117</v>
      </c>
      <c r="E1788" s="496">
        <v>500</v>
      </c>
      <c r="F1788" s="325">
        <f t="shared" si="18"/>
        <v>0.89135775178182408</v>
      </c>
      <c r="G1788" s="326">
        <v>560.94200000000001</v>
      </c>
      <c r="H1788" s="517" t="s">
        <v>437</v>
      </c>
      <c r="I1788" s="182" t="s">
        <v>2817</v>
      </c>
      <c r="J1788" s="182" t="s">
        <v>98</v>
      </c>
      <c r="K1788" s="129" t="s">
        <v>1902</v>
      </c>
      <c r="L1788" s="182" t="s">
        <v>155</v>
      </c>
      <c r="M1788" s="436"/>
      <c r="N1788" s="436"/>
      <c r="O1788" s="450"/>
      <c r="P1788" s="450"/>
      <c r="Q1788" s="450"/>
    </row>
    <row r="1789" spans="1:17" ht="15.6">
      <c r="A1789" s="503">
        <v>45892</v>
      </c>
      <c r="B1789" s="182" t="s">
        <v>2788</v>
      </c>
      <c r="C1789" s="517" t="s">
        <v>196</v>
      </c>
      <c r="D1789" s="517" t="s">
        <v>117</v>
      </c>
      <c r="E1789" s="496">
        <v>500</v>
      </c>
      <c r="F1789" s="325">
        <f t="shared" si="18"/>
        <v>0.89135775178182408</v>
      </c>
      <c r="G1789" s="326">
        <v>560.94200000000001</v>
      </c>
      <c r="H1789" s="517" t="s">
        <v>437</v>
      </c>
      <c r="I1789" s="182" t="s">
        <v>2817</v>
      </c>
      <c r="J1789" s="182" t="s">
        <v>98</v>
      </c>
      <c r="K1789" s="129" t="s">
        <v>1902</v>
      </c>
      <c r="L1789" s="182" t="s">
        <v>155</v>
      </c>
      <c r="M1789" s="436"/>
      <c r="N1789" s="436"/>
      <c r="O1789" s="450"/>
      <c r="P1789" s="450"/>
      <c r="Q1789" s="450"/>
    </row>
    <row r="1790" spans="1:17" ht="15.6">
      <c r="A1790" s="503">
        <v>45892</v>
      </c>
      <c r="B1790" s="182" t="s">
        <v>2781</v>
      </c>
      <c r="C1790" s="517" t="s">
        <v>196</v>
      </c>
      <c r="D1790" s="517" t="s">
        <v>117</v>
      </c>
      <c r="E1790" s="496">
        <v>500</v>
      </c>
      <c r="F1790" s="325">
        <f t="shared" si="18"/>
        <v>0.89135775178182408</v>
      </c>
      <c r="G1790" s="326">
        <v>560.94200000000001</v>
      </c>
      <c r="H1790" s="517" t="s">
        <v>437</v>
      </c>
      <c r="I1790" s="182" t="s">
        <v>2817</v>
      </c>
      <c r="J1790" s="182" t="s">
        <v>98</v>
      </c>
      <c r="K1790" s="129" t="s">
        <v>1902</v>
      </c>
      <c r="L1790" s="182" t="s">
        <v>155</v>
      </c>
      <c r="M1790" s="436"/>
      <c r="N1790" s="436"/>
      <c r="O1790" s="450"/>
      <c r="P1790" s="450"/>
      <c r="Q1790" s="450"/>
    </row>
    <row r="1791" spans="1:17" ht="15.6">
      <c r="A1791" s="505">
        <v>45892</v>
      </c>
      <c r="B1791" s="182" t="s">
        <v>2841</v>
      </c>
      <c r="C1791" s="182" t="s">
        <v>174</v>
      </c>
      <c r="D1791" s="182" t="s">
        <v>120</v>
      </c>
      <c r="E1791" s="496">
        <v>500</v>
      </c>
      <c r="F1791" s="325">
        <f t="shared" si="18"/>
        <v>0.89135775178182408</v>
      </c>
      <c r="G1791" s="326">
        <v>560.94200000000001</v>
      </c>
      <c r="H1791" s="182" t="s">
        <v>213</v>
      </c>
      <c r="I1791" s="182" t="s">
        <v>2853</v>
      </c>
      <c r="J1791" s="182" t="s">
        <v>98</v>
      </c>
      <c r="K1791" s="129" t="s">
        <v>1902</v>
      </c>
      <c r="L1791" s="182" t="s">
        <v>155</v>
      </c>
      <c r="M1791" s="436"/>
      <c r="N1791" s="436"/>
      <c r="O1791" s="450"/>
      <c r="P1791" s="450"/>
      <c r="Q1791" s="450"/>
    </row>
    <row r="1792" spans="1:17" ht="15.6">
      <c r="A1792" s="505">
        <v>45892</v>
      </c>
      <c r="B1792" s="182" t="s">
        <v>2842</v>
      </c>
      <c r="C1792" s="182" t="s">
        <v>174</v>
      </c>
      <c r="D1792" s="182" t="s">
        <v>120</v>
      </c>
      <c r="E1792" s="496">
        <v>500</v>
      </c>
      <c r="F1792" s="325">
        <f t="shared" si="18"/>
        <v>0.89135775178182408</v>
      </c>
      <c r="G1792" s="326">
        <v>560.94200000000001</v>
      </c>
      <c r="H1792" s="182" t="s">
        <v>213</v>
      </c>
      <c r="I1792" s="182" t="s">
        <v>2853</v>
      </c>
      <c r="J1792" s="182" t="s">
        <v>98</v>
      </c>
      <c r="K1792" s="129" t="s">
        <v>1902</v>
      </c>
      <c r="L1792" s="182" t="s">
        <v>155</v>
      </c>
      <c r="M1792" s="436"/>
      <c r="N1792" s="436"/>
      <c r="O1792" s="450"/>
      <c r="P1792" s="450"/>
      <c r="Q1792" s="450"/>
    </row>
    <row r="1793" spans="1:17" ht="15.6">
      <c r="A1793" s="535">
        <v>45893</v>
      </c>
      <c r="B1793" s="517" t="s">
        <v>2099</v>
      </c>
      <c r="C1793" s="308" t="s">
        <v>174</v>
      </c>
      <c r="D1793" s="308" t="s">
        <v>119</v>
      </c>
      <c r="E1793" s="517">
        <v>1000</v>
      </c>
      <c r="F1793" s="325">
        <f t="shared" si="18"/>
        <v>1.7827155035636482</v>
      </c>
      <c r="G1793" s="326">
        <v>560.94200000000001</v>
      </c>
      <c r="H1793" s="524" t="s">
        <v>153</v>
      </c>
      <c r="I1793" s="525" t="s">
        <v>2494</v>
      </c>
      <c r="J1793" s="182" t="s">
        <v>98</v>
      </c>
      <c r="K1793" s="129" t="s">
        <v>1902</v>
      </c>
      <c r="L1793" s="182" t="s">
        <v>155</v>
      </c>
      <c r="M1793" s="512"/>
      <c r="N1793" s="512"/>
      <c r="O1793" s="450"/>
      <c r="P1793" s="450"/>
      <c r="Q1793" s="450"/>
    </row>
    <row r="1794" spans="1:17" ht="15.6">
      <c r="A1794" s="535">
        <v>45893</v>
      </c>
      <c r="B1794" s="517" t="s">
        <v>2100</v>
      </c>
      <c r="C1794" s="308" t="s">
        <v>174</v>
      </c>
      <c r="D1794" s="308" t="s">
        <v>119</v>
      </c>
      <c r="E1794" s="517">
        <v>1000</v>
      </c>
      <c r="F1794" s="325">
        <f t="shared" si="18"/>
        <v>1.7827155035636482</v>
      </c>
      <c r="G1794" s="326">
        <v>560.94200000000001</v>
      </c>
      <c r="H1794" s="524" t="s">
        <v>153</v>
      </c>
      <c r="I1794" s="525" t="s">
        <v>2494</v>
      </c>
      <c r="J1794" s="182" t="s">
        <v>98</v>
      </c>
      <c r="K1794" s="129" t="s">
        <v>1902</v>
      </c>
      <c r="L1794" s="182" t="s">
        <v>155</v>
      </c>
      <c r="M1794" s="512"/>
      <c r="N1794" s="512"/>
      <c r="O1794" s="450"/>
      <c r="P1794" s="450"/>
      <c r="Q1794" s="450"/>
    </row>
    <row r="1795" spans="1:17" ht="15.6">
      <c r="A1795" s="536">
        <v>45893</v>
      </c>
      <c r="B1795" s="516" t="s">
        <v>2474</v>
      </c>
      <c r="C1795" s="516" t="s">
        <v>174</v>
      </c>
      <c r="D1795" s="516" t="s">
        <v>117</v>
      </c>
      <c r="E1795" s="526">
        <v>500</v>
      </c>
      <c r="F1795" s="325">
        <f t="shared" si="18"/>
        <v>0.89135775178182408</v>
      </c>
      <c r="G1795" s="326">
        <v>560.94200000000001</v>
      </c>
      <c r="H1795" s="177" t="s">
        <v>200</v>
      </c>
      <c r="I1795" s="516" t="s">
        <v>2489</v>
      </c>
      <c r="J1795" s="182" t="s">
        <v>98</v>
      </c>
      <c r="K1795" s="129" t="s">
        <v>1902</v>
      </c>
      <c r="L1795" s="182" t="s">
        <v>155</v>
      </c>
      <c r="M1795" s="512"/>
      <c r="N1795" s="512"/>
      <c r="O1795" s="450"/>
      <c r="P1795" s="450"/>
      <c r="Q1795" s="450"/>
    </row>
    <row r="1796" spans="1:17" ht="15.6">
      <c r="A1796" s="536">
        <v>45893</v>
      </c>
      <c r="B1796" s="516" t="s">
        <v>2475</v>
      </c>
      <c r="C1796" s="516" t="s">
        <v>174</v>
      </c>
      <c r="D1796" s="516" t="s">
        <v>117</v>
      </c>
      <c r="E1796" s="526">
        <v>500</v>
      </c>
      <c r="F1796" s="325">
        <f t="shared" si="18"/>
        <v>0.89135775178182408</v>
      </c>
      <c r="G1796" s="326">
        <v>560.94200000000001</v>
      </c>
      <c r="H1796" s="177" t="s">
        <v>200</v>
      </c>
      <c r="I1796" s="516" t="s">
        <v>2489</v>
      </c>
      <c r="J1796" s="182" t="s">
        <v>98</v>
      </c>
      <c r="K1796" s="129" t="s">
        <v>1902</v>
      </c>
      <c r="L1796" s="182" t="s">
        <v>155</v>
      </c>
      <c r="M1796" s="512"/>
      <c r="N1796" s="512"/>
      <c r="O1796" s="450"/>
      <c r="P1796" s="450"/>
      <c r="Q1796" s="450"/>
    </row>
    <row r="1797" spans="1:17" ht="15.6">
      <c r="A1797" s="467">
        <v>45893</v>
      </c>
      <c r="B1797" s="177" t="s">
        <v>3039</v>
      </c>
      <c r="C1797" s="177" t="s">
        <v>174</v>
      </c>
      <c r="D1797" s="177" t="s">
        <v>121</v>
      </c>
      <c r="E1797" s="177">
        <v>1000</v>
      </c>
      <c r="F1797" s="325">
        <f t="shared" si="18"/>
        <v>1.7827155035636482</v>
      </c>
      <c r="G1797" s="326">
        <v>560.94200000000001</v>
      </c>
      <c r="H1797" s="177" t="s">
        <v>184</v>
      </c>
      <c r="I1797" s="177" t="s">
        <v>2558</v>
      </c>
      <c r="J1797" s="182" t="s">
        <v>98</v>
      </c>
      <c r="K1797" s="129" t="s">
        <v>1902</v>
      </c>
      <c r="L1797" s="182" t="s">
        <v>155</v>
      </c>
      <c r="M1797" s="436"/>
      <c r="N1797" s="436"/>
      <c r="O1797" s="450"/>
      <c r="P1797" s="450"/>
      <c r="Q1797" s="450"/>
    </row>
    <row r="1798" spans="1:17" ht="15.6">
      <c r="A1798" s="467">
        <v>45893</v>
      </c>
      <c r="B1798" s="177" t="s">
        <v>3041</v>
      </c>
      <c r="C1798" s="177" t="s">
        <v>174</v>
      </c>
      <c r="D1798" s="177" t="s">
        <v>121</v>
      </c>
      <c r="E1798" s="177">
        <v>1000</v>
      </c>
      <c r="F1798" s="325">
        <f t="shared" si="18"/>
        <v>1.7827155035636482</v>
      </c>
      <c r="G1798" s="326">
        <v>560.94200000000001</v>
      </c>
      <c r="H1798" s="177" t="s">
        <v>184</v>
      </c>
      <c r="I1798" s="177" t="s">
        <v>2558</v>
      </c>
      <c r="J1798" s="182" t="s">
        <v>98</v>
      </c>
      <c r="K1798" s="129" t="s">
        <v>1902</v>
      </c>
      <c r="L1798" s="182" t="s">
        <v>155</v>
      </c>
      <c r="M1798" s="436"/>
      <c r="N1798" s="436"/>
      <c r="O1798" s="450"/>
      <c r="P1798" s="450"/>
      <c r="Q1798" s="450"/>
    </row>
    <row r="1799" spans="1:17" ht="15.6">
      <c r="A1799" s="505">
        <v>45893</v>
      </c>
      <c r="B1799" s="182" t="s">
        <v>3083</v>
      </c>
      <c r="C1799" s="182" t="s">
        <v>174</v>
      </c>
      <c r="D1799" s="177" t="s">
        <v>121</v>
      </c>
      <c r="E1799" s="182">
        <v>500</v>
      </c>
      <c r="F1799" s="325">
        <f t="shared" si="18"/>
        <v>0.89135775178182408</v>
      </c>
      <c r="G1799" s="326">
        <v>560.94200000000001</v>
      </c>
      <c r="H1799" s="182" t="s">
        <v>175</v>
      </c>
      <c r="I1799" s="182" t="s">
        <v>2588</v>
      </c>
      <c r="J1799" s="182" t="s">
        <v>98</v>
      </c>
      <c r="K1799" s="129" t="s">
        <v>1902</v>
      </c>
      <c r="L1799" s="182" t="s">
        <v>155</v>
      </c>
      <c r="M1799" s="436"/>
      <c r="N1799" s="436"/>
      <c r="O1799" s="450"/>
      <c r="P1799" s="450"/>
      <c r="Q1799" s="450"/>
    </row>
    <row r="1800" spans="1:17" ht="15.6">
      <c r="A1800" s="505">
        <v>45893</v>
      </c>
      <c r="B1800" s="519" t="s">
        <v>3083</v>
      </c>
      <c r="C1800" s="519" t="s">
        <v>174</v>
      </c>
      <c r="D1800" s="511" t="s">
        <v>121</v>
      </c>
      <c r="E1800" s="519">
        <v>500</v>
      </c>
      <c r="F1800" s="325">
        <f t="shared" si="18"/>
        <v>0.89135775178182408</v>
      </c>
      <c r="G1800" s="326">
        <v>560.94200000000001</v>
      </c>
      <c r="H1800" s="519" t="s">
        <v>175</v>
      </c>
      <c r="I1800" s="519" t="s">
        <v>2588</v>
      </c>
      <c r="J1800" s="182" t="s">
        <v>98</v>
      </c>
      <c r="K1800" s="129" t="s">
        <v>1902</v>
      </c>
      <c r="L1800" s="182" t="s">
        <v>155</v>
      </c>
      <c r="M1800" s="436"/>
      <c r="N1800" s="436"/>
      <c r="O1800" s="450"/>
      <c r="P1800" s="450"/>
      <c r="Q1800" s="450"/>
    </row>
    <row r="1801" spans="1:17" ht="15.6">
      <c r="A1801" s="505">
        <v>45893</v>
      </c>
      <c r="B1801" s="182" t="s">
        <v>3005</v>
      </c>
      <c r="C1801" s="182" t="s">
        <v>174</v>
      </c>
      <c r="D1801" s="177" t="s">
        <v>121</v>
      </c>
      <c r="E1801" s="182">
        <v>500</v>
      </c>
      <c r="F1801" s="325">
        <f t="shared" si="18"/>
        <v>0.89135775178182408</v>
      </c>
      <c r="G1801" s="326">
        <v>560.94200000000001</v>
      </c>
      <c r="H1801" s="182" t="s">
        <v>175</v>
      </c>
      <c r="I1801" s="182" t="s">
        <v>2588</v>
      </c>
      <c r="J1801" s="182" t="s">
        <v>98</v>
      </c>
      <c r="K1801" s="129" t="s">
        <v>1902</v>
      </c>
      <c r="L1801" s="182" t="s">
        <v>155</v>
      </c>
      <c r="M1801" s="436"/>
      <c r="N1801" s="436"/>
      <c r="O1801" s="450"/>
      <c r="P1801" s="450"/>
      <c r="Q1801" s="450"/>
    </row>
    <row r="1802" spans="1:17" ht="15.6">
      <c r="A1802" s="505">
        <v>45893</v>
      </c>
      <c r="B1802" s="182" t="s">
        <v>3005</v>
      </c>
      <c r="C1802" s="182" t="s">
        <v>174</v>
      </c>
      <c r="D1802" s="177" t="s">
        <v>121</v>
      </c>
      <c r="E1802" s="182">
        <v>500</v>
      </c>
      <c r="F1802" s="325">
        <f t="shared" si="18"/>
        <v>0.89135775178182408</v>
      </c>
      <c r="G1802" s="326">
        <v>560.94200000000001</v>
      </c>
      <c r="H1802" s="182" t="s">
        <v>175</v>
      </c>
      <c r="I1802" s="519" t="s">
        <v>2588</v>
      </c>
      <c r="J1802" s="182" t="s">
        <v>98</v>
      </c>
      <c r="K1802" s="129" t="s">
        <v>1902</v>
      </c>
      <c r="L1802" s="182" t="s">
        <v>155</v>
      </c>
      <c r="M1802" s="436"/>
      <c r="N1802" s="436"/>
      <c r="O1802" s="450"/>
      <c r="P1802" s="450"/>
      <c r="Q1802" s="450"/>
    </row>
    <row r="1803" spans="1:17" ht="15.6">
      <c r="A1803" s="505">
        <v>45893</v>
      </c>
      <c r="B1803" s="182" t="s">
        <v>3083</v>
      </c>
      <c r="C1803" s="182" t="s">
        <v>174</v>
      </c>
      <c r="D1803" s="177" t="s">
        <v>121</v>
      </c>
      <c r="E1803" s="182">
        <v>500</v>
      </c>
      <c r="F1803" s="325">
        <f t="shared" si="18"/>
        <v>0.89135775178182408</v>
      </c>
      <c r="G1803" s="326">
        <v>560.94200000000001</v>
      </c>
      <c r="H1803" s="182" t="s">
        <v>175</v>
      </c>
      <c r="I1803" s="182" t="s">
        <v>2588</v>
      </c>
      <c r="J1803" s="182" t="s">
        <v>98</v>
      </c>
      <c r="K1803" s="129" t="s">
        <v>1902</v>
      </c>
      <c r="L1803" s="182" t="s">
        <v>155</v>
      </c>
      <c r="M1803" s="436"/>
      <c r="N1803" s="436"/>
      <c r="O1803" s="450"/>
      <c r="P1803" s="450"/>
      <c r="Q1803" s="450"/>
    </row>
    <row r="1804" spans="1:17" ht="15.6">
      <c r="A1804" s="505">
        <v>45893</v>
      </c>
      <c r="B1804" s="182" t="s">
        <v>3005</v>
      </c>
      <c r="C1804" s="182" t="s">
        <v>174</v>
      </c>
      <c r="D1804" s="177" t="s">
        <v>121</v>
      </c>
      <c r="E1804" s="182">
        <v>500</v>
      </c>
      <c r="F1804" s="325">
        <f t="shared" si="18"/>
        <v>0.89135775178182408</v>
      </c>
      <c r="G1804" s="326">
        <v>560.94200000000001</v>
      </c>
      <c r="H1804" s="182" t="s">
        <v>175</v>
      </c>
      <c r="I1804" s="519" t="s">
        <v>2588</v>
      </c>
      <c r="J1804" s="182" t="s">
        <v>98</v>
      </c>
      <c r="K1804" s="129" t="s">
        <v>1902</v>
      </c>
      <c r="L1804" s="182" t="s">
        <v>155</v>
      </c>
      <c r="M1804" s="436"/>
      <c r="N1804" s="436"/>
      <c r="O1804" s="450"/>
      <c r="P1804" s="450"/>
      <c r="Q1804" s="450"/>
    </row>
    <row r="1805" spans="1:17" ht="15.6">
      <c r="A1805" s="505">
        <v>45893</v>
      </c>
      <c r="B1805" s="182" t="s">
        <v>3155</v>
      </c>
      <c r="C1805" s="182" t="s">
        <v>177</v>
      </c>
      <c r="D1805" s="182" t="s">
        <v>121</v>
      </c>
      <c r="E1805" s="182">
        <v>15000</v>
      </c>
      <c r="F1805" s="325">
        <f t="shared" si="18"/>
        <v>26.740732553454723</v>
      </c>
      <c r="G1805" s="326">
        <v>560.94200000000001</v>
      </c>
      <c r="H1805" s="182" t="s">
        <v>317</v>
      </c>
      <c r="I1805" s="519" t="s">
        <v>2645</v>
      </c>
      <c r="J1805" s="182" t="s">
        <v>98</v>
      </c>
      <c r="K1805" s="129" t="s">
        <v>1902</v>
      </c>
      <c r="L1805" s="182" t="s">
        <v>155</v>
      </c>
      <c r="M1805" s="436"/>
      <c r="N1805" s="436"/>
      <c r="O1805" s="450"/>
      <c r="P1805" s="450"/>
      <c r="Q1805" s="450"/>
    </row>
    <row r="1806" spans="1:17" ht="15.6">
      <c r="A1806" s="505">
        <v>45893</v>
      </c>
      <c r="B1806" s="182" t="s">
        <v>3083</v>
      </c>
      <c r="C1806" s="182" t="s">
        <v>174</v>
      </c>
      <c r="D1806" s="182" t="s">
        <v>121</v>
      </c>
      <c r="E1806" s="182">
        <v>500</v>
      </c>
      <c r="F1806" s="325">
        <f t="shared" si="18"/>
        <v>0.89135775178182408</v>
      </c>
      <c r="G1806" s="326">
        <v>560.94200000000001</v>
      </c>
      <c r="H1806" s="182" t="s">
        <v>317</v>
      </c>
      <c r="I1806" s="519" t="s">
        <v>2632</v>
      </c>
      <c r="J1806" s="182" t="s">
        <v>98</v>
      </c>
      <c r="K1806" s="129" t="s">
        <v>1902</v>
      </c>
      <c r="L1806" s="182" t="s">
        <v>155</v>
      </c>
      <c r="M1806" s="436"/>
      <c r="N1806" s="436"/>
      <c r="O1806" s="450"/>
      <c r="P1806" s="450"/>
      <c r="Q1806" s="450"/>
    </row>
    <row r="1807" spans="1:17" ht="15.6">
      <c r="A1807" s="505">
        <v>45893</v>
      </c>
      <c r="B1807" s="182" t="s">
        <v>3066</v>
      </c>
      <c r="C1807" s="182" t="s">
        <v>174</v>
      </c>
      <c r="D1807" s="182" t="s">
        <v>121</v>
      </c>
      <c r="E1807" s="182">
        <v>5000</v>
      </c>
      <c r="F1807" s="325">
        <f t="shared" si="18"/>
        <v>8.9135775178182417</v>
      </c>
      <c r="G1807" s="326">
        <v>560.94200000000001</v>
      </c>
      <c r="H1807" s="182" t="s">
        <v>317</v>
      </c>
      <c r="I1807" s="182" t="s">
        <v>2646</v>
      </c>
      <c r="J1807" s="182" t="s">
        <v>98</v>
      </c>
      <c r="K1807" s="129" t="s">
        <v>1902</v>
      </c>
      <c r="L1807" s="182" t="s">
        <v>155</v>
      </c>
      <c r="M1807" s="436"/>
      <c r="N1807" s="436"/>
      <c r="O1807" s="450"/>
      <c r="P1807" s="450"/>
      <c r="Q1807" s="450"/>
    </row>
    <row r="1808" spans="1:17" ht="15.6">
      <c r="A1808" s="505">
        <v>45893</v>
      </c>
      <c r="B1808" s="182" t="s">
        <v>3057</v>
      </c>
      <c r="C1808" s="182" t="s">
        <v>174</v>
      </c>
      <c r="D1808" s="182" t="s">
        <v>121</v>
      </c>
      <c r="E1808" s="182">
        <v>4000</v>
      </c>
      <c r="F1808" s="325">
        <f t="shared" si="18"/>
        <v>7.1308620142545927</v>
      </c>
      <c r="G1808" s="326">
        <v>560.94200000000001</v>
      </c>
      <c r="H1808" s="182" t="s">
        <v>317</v>
      </c>
      <c r="I1808" s="519" t="s">
        <v>2632</v>
      </c>
      <c r="J1808" s="182" t="s">
        <v>98</v>
      </c>
      <c r="K1808" s="129" t="s">
        <v>1902</v>
      </c>
      <c r="L1808" s="182" t="s">
        <v>155</v>
      </c>
      <c r="M1808" s="436"/>
      <c r="N1808" s="436"/>
      <c r="O1808" s="450"/>
      <c r="P1808" s="450"/>
      <c r="Q1808" s="450"/>
    </row>
    <row r="1809" spans="1:17" ht="15.6">
      <c r="A1809" s="505">
        <v>45893</v>
      </c>
      <c r="B1809" s="182" t="s">
        <v>3156</v>
      </c>
      <c r="C1809" s="182" t="s">
        <v>2456</v>
      </c>
      <c r="D1809" s="182" t="s">
        <v>121</v>
      </c>
      <c r="E1809" s="496">
        <v>75000</v>
      </c>
      <c r="F1809" s="325">
        <f t="shared" si="18"/>
        <v>133.70366276727361</v>
      </c>
      <c r="G1809" s="326">
        <v>560.94200000000001</v>
      </c>
      <c r="H1809" s="182" t="s">
        <v>323</v>
      </c>
      <c r="I1809" s="519" t="s">
        <v>2684</v>
      </c>
      <c r="J1809" s="182" t="s">
        <v>98</v>
      </c>
      <c r="K1809" s="129" t="s">
        <v>1902</v>
      </c>
      <c r="L1809" s="182" t="s">
        <v>155</v>
      </c>
      <c r="M1809" s="436"/>
      <c r="N1809" s="436"/>
      <c r="O1809" s="450"/>
      <c r="P1809" s="450"/>
      <c r="Q1809" s="450"/>
    </row>
    <row r="1810" spans="1:17" ht="15.6">
      <c r="A1810" s="505">
        <v>45893</v>
      </c>
      <c r="B1810" s="182" t="s">
        <v>3057</v>
      </c>
      <c r="C1810" s="182" t="s">
        <v>174</v>
      </c>
      <c r="D1810" s="182" t="s">
        <v>121</v>
      </c>
      <c r="E1810" s="496">
        <v>1000</v>
      </c>
      <c r="F1810" s="325">
        <f t="shared" si="18"/>
        <v>1.7827155035636482</v>
      </c>
      <c r="G1810" s="326">
        <v>560.94200000000001</v>
      </c>
      <c r="H1810" s="182" t="s">
        <v>323</v>
      </c>
      <c r="I1810" s="519" t="s">
        <v>2671</v>
      </c>
      <c r="J1810" s="182" t="s">
        <v>98</v>
      </c>
      <c r="K1810" s="129" t="s">
        <v>1902</v>
      </c>
      <c r="L1810" s="182" t="s">
        <v>155</v>
      </c>
      <c r="M1810" s="436"/>
      <c r="N1810" s="436"/>
      <c r="O1810" s="450"/>
      <c r="P1810" s="450"/>
      <c r="Q1810" s="450"/>
    </row>
    <row r="1811" spans="1:17" ht="15.6">
      <c r="A1811" s="505">
        <v>45893</v>
      </c>
      <c r="B1811" s="182" t="s">
        <v>3052</v>
      </c>
      <c r="C1811" s="182" t="s">
        <v>174</v>
      </c>
      <c r="D1811" s="182" t="s">
        <v>121</v>
      </c>
      <c r="E1811" s="496">
        <v>1000</v>
      </c>
      <c r="F1811" s="325">
        <f t="shared" si="18"/>
        <v>1.7827155035636482</v>
      </c>
      <c r="G1811" s="326">
        <v>560.94200000000001</v>
      </c>
      <c r="H1811" s="182" t="s">
        <v>323</v>
      </c>
      <c r="I1811" s="519" t="s">
        <v>2671</v>
      </c>
      <c r="J1811" s="182" t="s">
        <v>98</v>
      </c>
      <c r="K1811" s="129" t="s">
        <v>1902</v>
      </c>
      <c r="L1811" s="182" t="s">
        <v>155</v>
      </c>
      <c r="M1811" s="436"/>
      <c r="N1811" s="436"/>
      <c r="O1811" s="450"/>
      <c r="P1811" s="450"/>
      <c r="Q1811" s="450"/>
    </row>
    <row r="1812" spans="1:17" ht="15.6">
      <c r="A1812" s="503">
        <v>45893</v>
      </c>
      <c r="B1812" s="182" t="s">
        <v>2789</v>
      </c>
      <c r="C1812" s="517" t="s">
        <v>196</v>
      </c>
      <c r="D1812" s="517" t="s">
        <v>117</v>
      </c>
      <c r="E1812" s="496">
        <v>500</v>
      </c>
      <c r="F1812" s="325">
        <f t="shared" si="18"/>
        <v>0.89135775178182408</v>
      </c>
      <c r="G1812" s="326">
        <v>560.94200000000001</v>
      </c>
      <c r="H1812" s="517" t="s">
        <v>437</v>
      </c>
      <c r="I1812" s="182" t="s">
        <v>2817</v>
      </c>
      <c r="J1812" s="182" t="s">
        <v>98</v>
      </c>
      <c r="K1812" s="129" t="s">
        <v>1902</v>
      </c>
      <c r="L1812" s="182" t="s">
        <v>155</v>
      </c>
      <c r="M1812" s="436"/>
      <c r="N1812" s="436"/>
      <c r="O1812" s="450"/>
      <c r="P1812" s="450"/>
      <c r="Q1812" s="450"/>
    </row>
    <row r="1813" spans="1:17" ht="15.6">
      <c r="A1813" s="503">
        <v>45893</v>
      </c>
      <c r="B1813" s="182" t="s">
        <v>1809</v>
      </c>
      <c r="C1813" s="182" t="s">
        <v>1810</v>
      </c>
      <c r="D1813" s="517" t="s">
        <v>117</v>
      </c>
      <c r="E1813" s="496">
        <v>1400</v>
      </c>
      <c r="F1813" s="325">
        <f t="shared" si="18"/>
        <v>2.4958017049891077</v>
      </c>
      <c r="G1813" s="326">
        <v>560.94200000000001</v>
      </c>
      <c r="H1813" s="517" t="s">
        <v>437</v>
      </c>
      <c r="I1813" s="519" t="s">
        <v>2825</v>
      </c>
      <c r="J1813" s="182" t="s">
        <v>98</v>
      </c>
      <c r="K1813" s="129" t="s">
        <v>1902</v>
      </c>
      <c r="L1813" s="182" t="s">
        <v>155</v>
      </c>
      <c r="M1813" s="436"/>
      <c r="N1813" s="436"/>
      <c r="O1813" s="450"/>
      <c r="P1813" s="450"/>
      <c r="Q1813" s="450"/>
    </row>
    <row r="1814" spans="1:17" ht="15.6">
      <c r="A1814" s="503">
        <v>45893</v>
      </c>
      <c r="B1814" s="182" t="s">
        <v>2790</v>
      </c>
      <c r="C1814" s="517" t="s">
        <v>196</v>
      </c>
      <c r="D1814" s="517" t="s">
        <v>117</v>
      </c>
      <c r="E1814" s="496">
        <v>500</v>
      </c>
      <c r="F1814" s="325">
        <f t="shared" si="18"/>
        <v>0.89135775178182408</v>
      </c>
      <c r="G1814" s="326">
        <v>560.94200000000001</v>
      </c>
      <c r="H1814" s="517" t="s">
        <v>437</v>
      </c>
      <c r="I1814" s="519" t="s">
        <v>2817</v>
      </c>
      <c r="J1814" s="182" t="s">
        <v>98</v>
      </c>
      <c r="K1814" s="129" t="s">
        <v>1902</v>
      </c>
      <c r="L1814" s="182" t="s">
        <v>155</v>
      </c>
      <c r="M1814" s="436"/>
      <c r="N1814" s="436"/>
      <c r="O1814" s="450"/>
      <c r="P1814" s="450"/>
      <c r="Q1814" s="450"/>
    </row>
    <row r="1815" spans="1:17" ht="15.6">
      <c r="A1815" s="535">
        <v>45894</v>
      </c>
      <c r="B1815" s="517" t="s">
        <v>2099</v>
      </c>
      <c r="C1815" s="308" t="s">
        <v>174</v>
      </c>
      <c r="D1815" s="308" t="s">
        <v>119</v>
      </c>
      <c r="E1815" s="517">
        <v>1000</v>
      </c>
      <c r="F1815" s="325">
        <f t="shared" si="18"/>
        <v>1.7827155035636482</v>
      </c>
      <c r="G1815" s="326">
        <v>560.94200000000001</v>
      </c>
      <c r="H1815" s="524" t="s">
        <v>153</v>
      </c>
      <c r="I1815" s="530" t="s">
        <v>2494</v>
      </c>
      <c r="J1815" s="182" t="s">
        <v>98</v>
      </c>
      <c r="K1815" s="129" t="s">
        <v>1902</v>
      </c>
      <c r="L1815" s="182" t="s">
        <v>155</v>
      </c>
      <c r="M1815" s="512"/>
      <c r="N1815" s="512"/>
      <c r="O1815" s="450"/>
      <c r="P1815" s="450"/>
      <c r="Q1815" s="450"/>
    </row>
    <row r="1816" spans="1:17" ht="15.6">
      <c r="A1816" s="535">
        <v>45894</v>
      </c>
      <c r="B1816" s="517" t="s">
        <v>2100</v>
      </c>
      <c r="C1816" s="308" t="s">
        <v>174</v>
      </c>
      <c r="D1816" s="308" t="s">
        <v>119</v>
      </c>
      <c r="E1816" s="517">
        <v>1000</v>
      </c>
      <c r="F1816" s="325">
        <f t="shared" si="18"/>
        <v>1.7827155035636482</v>
      </c>
      <c r="G1816" s="326">
        <v>560.94200000000001</v>
      </c>
      <c r="H1816" s="524" t="s">
        <v>153</v>
      </c>
      <c r="I1816" s="530" t="s">
        <v>2494</v>
      </c>
      <c r="J1816" s="182" t="s">
        <v>98</v>
      </c>
      <c r="K1816" s="129" t="s">
        <v>1902</v>
      </c>
      <c r="L1816" s="182" t="s">
        <v>155</v>
      </c>
      <c r="M1816" s="512"/>
      <c r="N1816" s="512"/>
      <c r="O1816" s="450"/>
      <c r="P1816" s="450"/>
      <c r="Q1816" s="450"/>
    </row>
    <row r="1817" spans="1:17" ht="15.6">
      <c r="A1817" s="536">
        <v>45894</v>
      </c>
      <c r="B1817" s="516" t="s">
        <v>2476</v>
      </c>
      <c r="C1817" s="516" t="s">
        <v>174</v>
      </c>
      <c r="D1817" s="516" t="s">
        <v>117</v>
      </c>
      <c r="E1817" s="526">
        <v>500</v>
      </c>
      <c r="F1817" s="325">
        <f t="shared" si="18"/>
        <v>0.89135775178182408</v>
      </c>
      <c r="G1817" s="326">
        <v>560.94200000000001</v>
      </c>
      <c r="H1817" s="177" t="s">
        <v>200</v>
      </c>
      <c r="I1817" s="516" t="s">
        <v>2489</v>
      </c>
      <c r="J1817" s="182" t="s">
        <v>98</v>
      </c>
      <c r="K1817" s="129" t="s">
        <v>1902</v>
      </c>
      <c r="L1817" s="182" t="s">
        <v>155</v>
      </c>
      <c r="M1817" s="512"/>
      <c r="N1817" s="512"/>
      <c r="O1817" s="450"/>
      <c r="P1817" s="450"/>
      <c r="Q1817" s="450"/>
    </row>
    <row r="1818" spans="1:17" ht="15.6">
      <c r="A1818" s="536">
        <v>45894</v>
      </c>
      <c r="B1818" s="516" t="s">
        <v>2477</v>
      </c>
      <c r="C1818" s="516" t="s">
        <v>174</v>
      </c>
      <c r="D1818" s="516" t="s">
        <v>117</v>
      </c>
      <c r="E1818" s="526">
        <v>2000</v>
      </c>
      <c r="F1818" s="325">
        <f t="shared" si="18"/>
        <v>3.5654310071272963</v>
      </c>
      <c r="G1818" s="326">
        <v>560.94200000000001</v>
      </c>
      <c r="H1818" s="177" t="s">
        <v>200</v>
      </c>
      <c r="I1818" s="531" t="s">
        <v>2489</v>
      </c>
      <c r="J1818" s="182" t="s">
        <v>98</v>
      </c>
      <c r="K1818" s="129" t="s">
        <v>1902</v>
      </c>
      <c r="L1818" s="182" t="s">
        <v>155</v>
      </c>
      <c r="M1818" s="512"/>
      <c r="N1818" s="512"/>
      <c r="O1818" s="450"/>
      <c r="P1818" s="450"/>
      <c r="Q1818" s="450"/>
    </row>
    <row r="1819" spans="1:17" ht="15.6">
      <c r="A1819" s="467">
        <v>45894</v>
      </c>
      <c r="B1819" s="177" t="s">
        <v>2478</v>
      </c>
      <c r="C1819" s="177" t="s">
        <v>2456</v>
      </c>
      <c r="D1819" s="177" t="s">
        <v>2479</v>
      </c>
      <c r="E1819" s="527">
        <v>10000</v>
      </c>
      <c r="F1819" s="325">
        <f t="shared" si="18"/>
        <v>17.827155035636483</v>
      </c>
      <c r="G1819" s="326">
        <v>560.94200000000001</v>
      </c>
      <c r="H1819" s="177" t="s">
        <v>200</v>
      </c>
      <c r="I1819" s="531" t="s">
        <v>2985</v>
      </c>
      <c r="J1819" s="182" t="s">
        <v>98</v>
      </c>
      <c r="K1819" s="129" t="s">
        <v>1902</v>
      </c>
      <c r="L1819" s="182" t="s">
        <v>155</v>
      </c>
      <c r="M1819" s="512"/>
      <c r="N1819" s="512"/>
      <c r="O1819" s="450"/>
      <c r="P1819" s="450"/>
      <c r="Q1819" s="450"/>
    </row>
    <row r="1820" spans="1:17" ht="15.6">
      <c r="A1820" s="536">
        <v>45894</v>
      </c>
      <c r="B1820" s="516" t="s">
        <v>2468</v>
      </c>
      <c r="C1820" s="516" t="s">
        <v>174</v>
      </c>
      <c r="D1820" s="516" t="s">
        <v>117</v>
      </c>
      <c r="E1820" s="526">
        <v>500</v>
      </c>
      <c r="F1820" s="325">
        <f t="shared" si="18"/>
        <v>0.89135775178182408</v>
      </c>
      <c r="G1820" s="326">
        <v>560.94200000000001</v>
      </c>
      <c r="H1820" s="177" t="s">
        <v>200</v>
      </c>
      <c r="I1820" s="516" t="s">
        <v>2489</v>
      </c>
      <c r="J1820" s="182" t="s">
        <v>98</v>
      </c>
      <c r="K1820" s="129" t="s">
        <v>1902</v>
      </c>
      <c r="L1820" s="182" t="s">
        <v>155</v>
      </c>
      <c r="M1820" s="512"/>
      <c r="N1820" s="512"/>
      <c r="O1820" s="450"/>
      <c r="P1820" s="450"/>
      <c r="Q1820" s="450"/>
    </row>
    <row r="1821" spans="1:17" ht="15.6">
      <c r="A1821" s="504">
        <v>45894</v>
      </c>
      <c r="B1821" s="182" t="s">
        <v>2530</v>
      </c>
      <c r="C1821" s="182" t="s">
        <v>174</v>
      </c>
      <c r="D1821" s="182" t="s">
        <v>118</v>
      </c>
      <c r="E1821" s="435">
        <v>1000</v>
      </c>
      <c r="F1821" s="325">
        <f t="shared" si="18"/>
        <v>1.7827155035636482</v>
      </c>
      <c r="G1821" s="326">
        <v>560.94200000000001</v>
      </c>
      <c r="H1821" s="182" t="s">
        <v>583</v>
      </c>
      <c r="I1821" s="519" t="s">
        <v>2536</v>
      </c>
      <c r="J1821" s="182" t="s">
        <v>98</v>
      </c>
      <c r="K1821" s="129" t="s">
        <v>1902</v>
      </c>
      <c r="L1821" s="182" t="s">
        <v>155</v>
      </c>
      <c r="M1821" s="512"/>
      <c r="N1821" s="512"/>
      <c r="O1821" s="450"/>
      <c r="P1821" s="450"/>
      <c r="Q1821" s="450"/>
    </row>
    <row r="1822" spans="1:17" ht="15.6">
      <c r="A1822" s="504">
        <v>45894</v>
      </c>
      <c r="B1822" s="182" t="s">
        <v>2531</v>
      </c>
      <c r="C1822" s="182" t="s">
        <v>174</v>
      </c>
      <c r="D1822" s="182" t="s">
        <v>118</v>
      </c>
      <c r="E1822" s="435">
        <v>1000</v>
      </c>
      <c r="F1822" s="325">
        <f t="shared" si="18"/>
        <v>1.7827155035636482</v>
      </c>
      <c r="G1822" s="326">
        <v>560.94200000000001</v>
      </c>
      <c r="H1822" s="182" t="s">
        <v>583</v>
      </c>
      <c r="I1822" s="182" t="s">
        <v>2536</v>
      </c>
      <c r="J1822" s="182" t="s">
        <v>98</v>
      </c>
      <c r="K1822" s="129" t="s">
        <v>1902</v>
      </c>
      <c r="L1822" s="182" t="s">
        <v>155</v>
      </c>
      <c r="M1822" s="512"/>
      <c r="N1822" s="512"/>
      <c r="O1822" s="450"/>
      <c r="P1822" s="450"/>
      <c r="Q1822" s="450"/>
    </row>
    <row r="1823" spans="1:17" ht="15.6">
      <c r="A1823" s="504">
        <v>45894</v>
      </c>
      <c r="B1823" s="182" t="s">
        <v>2532</v>
      </c>
      <c r="C1823" s="182" t="s">
        <v>174</v>
      </c>
      <c r="D1823" s="182" t="s">
        <v>118</v>
      </c>
      <c r="E1823" s="435">
        <v>1000</v>
      </c>
      <c r="F1823" s="325">
        <f t="shared" si="18"/>
        <v>1.7827155035636482</v>
      </c>
      <c r="G1823" s="326">
        <v>560.94200000000001</v>
      </c>
      <c r="H1823" s="182" t="s">
        <v>583</v>
      </c>
      <c r="I1823" s="182" t="s">
        <v>2536</v>
      </c>
      <c r="J1823" s="182" t="s">
        <v>98</v>
      </c>
      <c r="K1823" s="129" t="s">
        <v>1902</v>
      </c>
      <c r="L1823" s="182" t="s">
        <v>155</v>
      </c>
      <c r="M1823" s="512"/>
      <c r="N1823" s="512"/>
      <c r="O1823" s="450"/>
      <c r="P1823" s="450"/>
      <c r="Q1823" s="450"/>
    </row>
    <row r="1824" spans="1:17" ht="15.6">
      <c r="A1824" s="506">
        <v>45894</v>
      </c>
      <c r="B1824" s="522" t="s">
        <v>2408</v>
      </c>
      <c r="C1824" s="522" t="s">
        <v>182</v>
      </c>
      <c r="D1824" s="522" t="s">
        <v>118</v>
      </c>
      <c r="E1824" s="523">
        <v>12985</v>
      </c>
      <c r="F1824" s="325">
        <f t="shared" si="18"/>
        <v>23.148560813773972</v>
      </c>
      <c r="G1824" s="326">
        <v>560.94200000000001</v>
      </c>
      <c r="H1824" s="522" t="s">
        <v>583</v>
      </c>
      <c r="I1824" s="519" t="s">
        <v>2409</v>
      </c>
      <c r="J1824" s="182" t="s">
        <v>98</v>
      </c>
      <c r="K1824" s="129" t="s">
        <v>1902</v>
      </c>
      <c r="L1824" s="182" t="s">
        <v>155</v>
      </c>
      <c r="M1824" s="512"/>
      <c r="N1824" s="512"/>
      <c r="O1824" s="450"/>
      <c r="P1824" s="450"/>
      <c r="Q1824" s="450"/>
    </row>
    <row r="1825" spans="1:17" ht="15.6">
      <c r="A1825" s="467">
        <v>45894</v>
      </c>
      <c r="B1825" s="177" t="s">
        <v>3026</v>
      </c>
      <c r="C1825" s="177" t="s">
        <v>177</v>
      </c>
      <c r="D1825" s="177" t="s">
        <v>121</v>
      </c>
      <c r="E1825" s="177">
        <v>135000</v>
      </c>
      <c r="F1825" s="325">
        <f t="shared" si="18"/>
        <v>240.66659298109252</v>
      </c>
      <c r="G1825" s="326">
        <v>560.94200000000001</v>
      </c>
      <c r="H1825" s="177" t="s">
        <v>184</v>
      </c>
      <c r="I1825" s="177" t="s">
        <v>2571</v>
      </c>
      <c r="J1825" s="182" t="s">
        <v>98</v>
      </c>
      <c r="K1825" s="129" t="s">
        <v>1902</v>
      </c>
      <c r="L1825" s="182" t="s">
        <v>155</v>
      </c>
      <c r="M1825" s="436"/>
      <c r="N1825" s="436"/>
      <c r="O1825" s="450"/>
      <c r="P1825" s="450"/>
      <c r="Q1825" s="450"/>
    </row>
    <row r="1826" spans="1:17" ht="15.6">
      <c r="A1826" s="467">
        <v>45894</v>
      </c>
      <c r="B1826" s="511" t="s">
        <v>3157</v>
      </c>
      <c r="C1826" s="511" t="s">
        <v>174</v>
      </c>
      <c r="D1826" s="511" t="s">
        <v>121</v>
      </c>
      <c r="E1826" s="511">
        <v>350000</v>
      </c>
      <c r="F1826" s="325">
        <f t="shared" si="18"/>
        <v>623.95042624727694</v>
      </c>
      <c r="G1826" s="326">
        <v>560.94200000000001</v>
      </c>
      <c r="H1826" s="511" t="s">
        <v>184</v>
      </c>
      <c r="I1826" s="511" t="s">
        <v>2572</v>
      </c>
      <c r="J1826" s="182" t="s">
        <v>98</v>
      </c>
      <c r="K1826" s="129" t="s">
        <v>1902</v>
      </c>
      <c r="L1826" s="182" t="s">
        <v>155</v>
      </c>
      <c r="M1826" s="436"/>
      <c r="N1826" s="436"/>
      <c r="O1826" s="450"/>
      <c r="P1826" s="450"/>
      <c r="Q1826" s="450"/>
    </row>
    <row r="1827" spans="1:17" ht="15.6">
      <c r="A1827" s="467">
        <v>45894</v>
      </c>
      <c r="B1827" s="177" t="s">
        <v>3158</v>
      </c>
      <c r="C1827" s="177" t="s">
        <v>174</v>
      </c>
      <c r="D1827" s="177" t="s">
        <v>121</v>
      </c>
      <c r="E1827" s="177">
        <v>1000</v>
      </c>
      <c r="F1827" s="325">
        <f t="shared" si="18"/>
        <v>1.7827155035636482</v>
      </c>
      <c r="G1827" s="326">
        <v>560.94200000000001</v>
      </c>
      <c r="H1827" s="177" t="s">
        <v>184</v>
      </c>
      <c r="I1827" s="177" t="s">
        <v>2558</v>
      </c>
      <c r="J1827" s="182" t="s">
        <v>98</v>
      </c>
      <c r="K1827" s="129" t="s">
        <v>1902</v>
      </c>
      <c r="L1827" s="182" t="s">
        <v>155</v>
      </c>
      <c r="M1827" s="436"/>
      <c r="N1827" s="436"/>
      <c r="O1827" s="450"/>
      <c r="P1827" s="450"/>
      <c r="Q1827" s="450"/>
    </row>
    <row r="1828" spans="1:17" ht="15.6">
      <c r="A1828" s="503">
        <v>45894</v>
      </c>
      <c r="B1828" s="182" t="s">
        <v>2791</v>
      </c>
      <c r="C1828" s="517" t="s">
        <v>196</v>
      </c>
      <c r="D1828" s="517" t="s">
        <v>117</v>
      </c>
      <c r="E1828" s="496">
        <v>500</v>
      </c>
      <c r="F1828" s="325">
        <f t="shared" si="18"/>
        <v>0.89135775178182408</v>
      </c>
      <c r="G1828" s="326">
        <v>560.94200000000001</v>
      </c>
      <c r="H1828" s="517" t="s">
        <v>437</v>
      </c>
      <c r="I1828" s="519" t="s">
        <v>2817</v>
      </c>
      <c r="J1828" s="182" t="s">
        <v>98</v>
      </c>
      <c r="K1828" s="129" t="s">
        <v>1902</v>
      </c>
      <c r="L1828" s="182" t="s">
        <v>155</v>
      </c>
      <c r="M1828" s="436"/>
      <c r="N1828" s="436"/>
      <c r="O1828" s="450"/>
      <c r="P1828" s="450"/>
      <c r="Q1828" s="450"/>
    </row>
    <row r="1829" spans="1:17" ht="15.6">
      <c r="A1829" s="503">
        <v>45894</v>
      </c>
      <c r="B1829" s="182" t="s">
        <v>1089</v>
      </c>
      <c r="C1829" s="517" t="s">
        <v>196</v>
      </c>
      <c r="D1829" s="517" t="s">
        <v>2479</v>
      </c>
      <c r="E1829" s="496">
        <v>25000</v>
      </c>
      <c r="F1829" s="325">
        <f t="shared" si="18"/>
        <v>44.567887589091207</v>
      </c>
      <c r="G1829" s="326">
        <v>560.94200000000001</v>
      </c>
      <c r="H1829" s="517" t="s">
        <v>437</v>
      </c>
      <c r="I1829" s="182" t="s">
        <v>2826</v>
      </c>
      <c r="J1829" s="182" t="s">
        <v>98</v>
      </c>
      <c r="K1829" s="129" t="s">
        <v>1902</v>
      </c>
      <c r="L1829" s="182" t="s">
        <v>155</v>
      </c>
      <c r="M1829" s="436"/>
      <c r="N1829" s="436"/>
      <c r="O1829" s="450"/>
      <c r="P1829" s="450"/>
      <c r="Q1829" s="450"/>
    </row>
    <row r="1830" spans="1:17" ht="15.6">
      <c r="A1830" s="503">
        <v>45894</v>
      </c>
      <c r="B1830" s="182" t="s">
        <v>1813</v>
      </c>
      <c r="C1830" s="517" t="s">
        <v>177</v>
      </c>
      <c r="D1830" s="517" t="s">
        <v>117</v>
      </c>
      <c r="E1830" s="496">
        <v>23250</v>
      </c>
      <c r="F1830" s="325">
        <f t="shared" si="18"/>
        <v>41.448135457854825</v>
      </c>
      <c r="G1830" s="326">
        <v>560.94200000000001</v>
      </c>
      <c r="H1830" s="517" t="s">
        <v>437</v>
      </c>
      <c r="I1830" s="182" t="s">
        <v>2827</v>
      </c>
      <c r="J1830" s="182" t="s">
        <v>98</v>
      </c>
      <c r="K1830" s="129" t="s">
        <v>1902</v>
      </c>
      <c r="L1830" s="182" t="s">
        <v>155</v>
      </c>
      <c r="M1830" s="436"/>
      <c r="N1830" s="436"/>
      <c r="O1830" s="450"/>
      <c r="P1830" s="450"/>
      <c r="Q1830" s="450"/>
    </row>
    <row r="1831" spans="1:17" ht="15.6">
      <c r="A1831" s="503">
        <v>45894</v>
      </c>
      <c r="B1831" s="182" t="s">
        <v>2792</v>
      </c>
      <c r="C1831" s="517" t="s">
        <v>196</v>
      </c>
      <c r="D1831" s="517" t="s">
        <v>117</v>
      </c>
      <c r="E1831" s="496">
        <v>500</v>
      </c>
      <c r="F1831" s="325">
        <f t="shared" si="18"/>
        <v>0.89135775178182408</v>
      </c>
      <c r="G1831" s="326">
        <v>560.94200000000001</v>
      </c>
      <c r="H1831" s="517" t="s">
        <v>437</v>
      </c>
      <c r="I1831" s="519" t="s">
        <v>2817</v>
      </c>
      <c r="J1831" s="182" t="s">
        <v>98</v>
      </c>
      <c r="K1831" s="129" t="s">
        <v>1902</v>
      </c>
      <c r="L1831" s="182" t="s">
        <v>155</v>
      </c>
      <c r="M1831" s="436"/>
      <c r="N1831" s="436"/>
      <c r="O1831" s="450"/>
      <c r="P1831" s="450"/>
      <c r="Q1831" s="450"/>
    </row>
    <row r="1832" spans="1:17" ht="15.6">
      <c r="A1832" s="503">
        <v>45894</v>
      </c>
      <c r="B1832" s="182" t="s">
        <v>2793</v>
      </c>
      <c r="C1832" s="517" t="s">
        <v>196</v>
      </c>
      <c r="D1832" s="517" t="s">
        <v>117</v>
      </c>
      <c r="E1832" s="496">
        <v>500</v>
      </c>
      <c r="F1832" s="325">
        <f t="shared" si="18"/>
        <v>0.89135775178182408</v>
      </c>
      <c r="G1832" s="326">
        <v>560.94200000000001</v>
      </c>
      <c r="H1832" s="517" t="s">
        <v>437</v>
      </c>
      <c r="I1832" s="519" t="s">
        <v>2817</v>
      </c>
      <c r="J1832" s="182" t="s">
        <v>98</v>
      </c>
      <c r="K1832" s="129" t="s">
        <v>1902</v>
      </c>
      <c r="L1832" s="182" t="s">
        <v>155</v>
      </c>
      <c r="M1832" s="436"/>
      <c r="N1832" s="436"/>
      <c r="O1832" s="450"/>
      <c r="P1832" s="450"/>
      <c r="Q1832" s="450"/>
    </row>
    <row r="1833" spans="1:17" ht="15.6">
      <c r="A1833" s="503">
        <v>45894</v>
      </c>
      <c r="B1833" s="182" t="s">
        <v>2794</v>
      </c>
      <c r="C1833" s="182" t="s">
        <v>313</v>
      </c>
      <c r="D1833" s="517" t="s">
        <v>117</v>
      </c>
      <c r="E1833" s="496">
        <v>1500</v>
      </c>
      <c r="F1833" s="325">
        <f t="shared" si="18"/>
        <v>2.6740732553454722</v>
      </c>
      <c r="G1833" s="326">
        <v>560.94200000000001</v>
      </c>
      <c r="H1833" s="517" t="s">
        <v>437</v>
      </c>
      <c r="I1833" s="519" t="s">
        <v>2828</v>
      </c>
      <c r="J1833" s="182" t="s">
        <v>98</v>
      </c>
      <c r="K1833" s="129" t="s">
        <v>1902</v>
      </c>
      <c r="L1833" s="182" t="s">
        <v>155</v>
      </c>
      <c r="M1833" s="436"/>
      <c r="N1833" s="436"/>
      <c r="O1833" s="450"/>
      <c r="P1833" s="450"/>
      <c r="Q1833" s="450"/>
    </row>
    <row r="1834" spans="1:17" ht="15.6">
      <c r="A1834" s="503">
        <v>45894</v>
      </c>
      <c r="B1834" s="182" t="s">
        <v>2795</v>
      </c>
      <c r="C1834" s="517" t="s">
        <v>196</v>
      </c>
      <c r="D1834" s="517" t="s">
        <v>117</v>
      </c>
      <c r="E1834" s="496">
        <v>500</v>
      </c>
      <c r="F1834" s="325">
        <f t="shared" si="18"/>
        <v>0.89135775178182408</v>
      </c>
      <c r="G1834" s="326">
        <v>560.94200000000001</v>
      </c>
      <c r="H1834" s="517" t="s">
        <v>437</v>
      </c>
      <c r="I1834" s="519" t="s">
        <v>2817</v>
      </c>
      <c r="J1834" s="182" t="s">
        <v>98</v>
      </c>
      <c r="K1834" s="129" t="s">
        <v>1902</v>
      </c>
      <c r="L1834" s="182" t="s">
        <v>155</v>
      </c>
      <c r="M1834" s="436"/>
      <c r="N1834" s="436"/>
      <c r="O1834" s="450"/>
      <c r="P1834" s="450"/>
      <c r="Q1834" s="450"/>
    </row>
    <row r="1835" spans="1:17" ht="15.6">
      <c r="A1835" s="505">
        <v>45894</v>
      </c>
      <c r="B1835" s="182" t="s">
        <v>2843</v>
      </c>
      <c r="C1835" s="182" t="s">
        <v>174</v>
      </c>
      <c r="D1835" s="182" t="s">
        <v>120</v>
      </c>
      <c r="E1835" s="496">
        <v>500</v>
      </c>
      <c r="F1835" s="325">
        <f t="shared" ref="F1835:F1850" si="19">E1835/G1835</f>
        <v>0.89135775178182408</v>
      </c>
      <c r="G1835" s="326">
        <v>560.94200000000001</v>
      </c>
      <c r="H1835" s="182" t="s">
        <v>213</v>
      </c>
      <c r="I1835" s="182" t="s">
        <v>2853</v>
      </c>
      <c r="J1835" s="182" t="s">
        <v>98</v>
      </c>
      <c r="K1835" s="129" t="s">
        <v>1902</v>
      </c>
      <c r="L1835" s="182" t="s">
        <v>155</v>
      </c>
      <c r="M1835" s="436"/>
      <c r="N1835" s="436"/>
      <c r="O1835" s="450"/>
      <c r="P1835" s="450"/>
      <c r="Q1835" s="450"/>
    </row>
    <row r="1836" spans="1:17" ht="15.6">
      <c r="A1836" s="505">
        <v>45894</v>
      </c>
      <c r="B1836" s="182" t="s">
        <v>2844</v>
      </c>
      <c r="C1836" s="182" t="s">
        <v>174</v>
      </c>
      <c r="D1836" s="182" t="s">
        <v>120</v>
      </c>
      <c r="E1836" s="496">
        <v>500</v>
      </c>
      <c r="F1836" s="325">
        <f t="shared" si="19"/>
        <v>0.89135775178182408</v>
      </c>
      <c r="G1836" s="326">
        <v>560.94200000000001</v>
      </c>
      <c r="H1836" s="182" t="s">
        <v>213</v>
      </c>
      <c r="I1836" s="182" t="s">
        <v>2853</v>
      </c>
      <c r="J1836" s="182" t="s">
        <v>98</v>
      </c>
      <c r="K1836" s="129" t="s">
        <v>1902</v>
      </c>
      <c r="L1836" s="182" t="s">
        <v>155</v>
      </c>
      <c r="M1836" s="436"/>
      <c r="N1836" s="436"/>
      <c r="O1836" s="450"/>
      <c r="P1836" s="450"/>
      <c r="Q1836" s="450"/>
    </row>
    <row r="1837" spans="1:17" ht="15.6">
      <c r="A1837" s="505">
        <v>45894</v>
      </c>
      <c r="B1837" s="182" t="s">
        <v>2845</v>
      </c>
      <c r="C1837" s="182" t="s">
        <v>177</v>
      </c>
      <c r="D1837" s="182" t="s">
        <v>120</v>
      </c>
      <c r="E1837" s="496">
        <v>10000</v>
      </c>
      <c r="F1837" s="325">
        <f t="shared" si="19"/>
        <v>17.827155035636483</v>
      </c>
      <c r="G1837" s="326">
        <v>560.94200000000001</v>
      </c>
      <c r="H1837" s="182" t="s">
        <v>213</v>
      </c>
      <c r="I1837" s="519" t="s">
        <v>2863</v>
      </c>
      <c r="J1837" s="182" t="s">
        <v>98</v>
      </c>
      <c r="K1837" s="129" t="s">
        <v>1902</v>
      </c>
      <c r="L1837" s="182" t="s">
        <v>155</v>
      </c>
      <c r="M1837" s="436"/>
      <c r="N1837" s="436"/>
      <c r="O1837" s="450"/>
      <c r="P1837" s="450"/>
      <c r="Q1837" s="450"/>
    </row>
    <row r="1838" spans="1:17" ht="15.6">
      <c r="A1838" s="505">
        <v>45894</v>
      </c>
      <c r="B1838" s="182" t="s">
        <v>2846</v>
      </c>
      <c r="C1838" s="182" t="s">
        <v>174</v>
      </c>
      <c r="D1838" s="182" t="s">
        <v>120</v>
      </c>
      <c r="E1838" s="496">
        <v>500</v>
      </c>
      <c r="F1838" s="325">
        <f t="shared" si="19"/>
        <v>0.89135775178182408</v>
      </c>
      <c r="G1838" s="326">
        <v>560.94200000000001</v>
      </c>
      <c r="H1838" s="182" t="s">
        <v>213</v>
      </c>
      <c r="I1838" s="519" t="s">
        <v>2853</v>
      </c>
      <c r="J1838" s="182" t="s">
        <v>98</v>
      </c>
      <c r="K1838" s="129" t="s">
        <v>1902</v>
      </c>
      <c r="L1838" s="182" t="s">
        <v>155</v>
      </c>
      <c r="M1838" s="436"/>
      <c r="N1838" s="436"/>
      <c r="O1838" s="450"/>
      <c r="P1838" s="450"/>
      <c r="Q1838" s="450"/>
    </row>
    <row r="1839" spans="1:17" ht="15.6">
      <c r="A1839" s="506">
        <v>45894</v>
      </c>
      <c r="B1839" s="182" t="s">
        <v>2402</v>
      </c>
      <c r="C1839" s="182" t="s">
        <v>1542</v>
      </c>
      <c r="D1839" s="182" t="s">
        <v>118</v>
      </c>
      <c r="E1839" s="435">
        <v>35000</v>
      </c>
      <c r="F1839" s="325">
        <f t="shared" si="19"/>
        <v>62.395042624727687</v>
      </c>
      <c r="G1839" s="326">
        <v>560.94200000000001</v>
      </c>
      <c r="H1839" s="182" t="s">
        <v>187</v>
      </c>
      <c r="I1839" s="182" t="s">
        <v>2403</v>
      </c>
      <c r="J1839" s="182" t="s">
        <v>98</v>
      </c>
      <c r="K1839" s="129" t="s">
        <v>1902</v>
      </c>
      <c r="L1839" s="182" t="s">
        <v>155</v>
      </c>
      <c r="M1839" s="436"/>
      <c r="N1839" s="436"/>
      <c r="O1839" s="450"/>
      <c r="P1839" s="450"/>
      <c r="Q1839" s="450"/>
    </row>
    <row r="1840" spans="1:17" ht="15.6">
      <c r="A1840" s="506">
        <v>45894</v>
      </c>
      <c r="B1840" s="182" t="s">
        <v>2404</v>
      </c>
      <c r="C1840" s="182" t="s">
        <v>304</v>
      </c>
      <c r="D1840" s="182" t="s">
        <v>118</v>
      </c>
      <c r="E1840" s="435">
        <v>5000</v>
      </c>
      <c r="F1840" s="325">
        <f t="shared" si="19"/>
        <v>8.9135775178182417</v>
      </c>
      <c r="G1840" s="326">
        <v>560.94200000000001</v>
      </c>
      <c r="H1840" s="182" t="s">
        <v>187</v>
      </c>
      <c r="I1840" s="519" t="s">
        <v>2405</v>
      </c>
      <c r="J1840" s="182" t="s">
        <v>98</v>
      </c>
      <c r="K1840" s="129" t="s">
        <v>1902</v>
      </c>
      <c r="L1840" s="182" t="s">
        <v>155</v>
      </c>
      <c r="M1840" s="436"/>
      <c r="N1840" s="436"/>
      <c r="O1840" s="450"/>
      <c r="P1840" s="450"/>
      <c r="Q1840" s="450"/>
    </row>
    <row r="1841" spans="1:17" ht="15.6">
      <c r="A1841" s="508">
        <v>45894</v>
      </c>
      <c r="B1841" s="367" t="s">
        <v>2897</v>
      </c>
      <c r="C1841" s="182" t="s">
        <v>127</v>
      </c>
      <c r="D1841" s="182" t="s">
        <v>118</v>
      </c>
      <c r="E1841" s="435">
        <v>258800</v>
      </c>
      <c r="F1841" s="325">
        <f t="shared" si="19"/>
        <v>461.3667723222722</v>
      </c>
      <c r="G1841" s="326">
        <v>560.94200000000001</v>
      </c>
      <c r="H1841" s="182" t="s">
        <v>148</v>
      </c>
      <c r="I1841" s="519" t="s">
        <v>2919</v>
      </c>
      <c r="J1841" s="182" t="s">
        <v>98</v>
      </c>
      <c r="K1841" s="129" t="s">
        <v>1902</v>
      </c>
      <c r="L1841" s="182" t="s">
        <v>155</v>
      </c>
      <c r="M1841" s="436"/>
      <c r="N1841" s="436"/>
      <c r="O1841" s="450"/>
      <c r="P1841" s="450"/>
      <c r="Q1841" s="450"/>
    </row>
    <row r="1842" spans="1:17" ht="15.6">
      <c r="A1842" s="508">
        <v>45894</v>
      </c>
      <c r="B1842" s="367" t="s">
        <v>2898</v>
      </c>
      <c r="C1842" s="182" t="s">
        <v>127</v>
      </c>
      <c r="D1842" s="445" t="s">
        <v>117</v>
      </c>
      <c r="E1842" s="435">
        <v>228800</v>
      </c>
      <c r="F1842" s="325">
        <f t="shared" si="19"/>
        <v>407.88530721536273</v>
      </c>
      <c r="G1842" s="326">
        <v>560.94200000000001</v>
      </c>
      <c r="H1842" s="182" t="s">
        <v>148</v>
      </c>
      <c r="I1842" s="182" t="s">
        <v>2920</v>
      </c>
      <c r="J1842" s="182" t="s">
        <v>98</v>
      </c>
      <c r="K1842" s="129" t="s">
        <v>1902</v>
      </c>
      <c r="L1842" s="182" t="s">
        <v>155</v>
      </c>
      <c r="M1842" s="436"/>
      <c r="N1842" s="436"/>
      <c r="O1842" s="450"/>
      <c r="P1842" s="450"/>
      <c r="Q1842" s="450"/>
    </row>
    <row r="1843" spans="1:17" ht="15.6">
      <c r="A1843" s="508">
        <v>45894</v>
      </c>
      <c r="B1843" s="367" t="s">
        <v>2899</v>
      </c>
      <c r="C1843" s="439" t="s">
        <v>127</v>
      </c>
      <c r="D1843" s="444" t="s">
        <v>117</v>
      </c>
      <c r="E1843" s="435">
        <v>228800</v>
      </c>
      <c r="F1843" s="325">
        <f t="shared" si="19"/>
        <v>407.88530721536273</v>
      </c>
      <c r="G1843" s="326">
        <v>560.94200000000001</v>
      </c>
      <c r="H1843" s="182" t="s">
        <v>148</v>
      </c>
      <c r="I1843" s="182" t="s">
        <v>2921</v>
      </c>
      <c r="J1843" s="182" t="s">
        <v>98</v>
      </c>
      <c r="K1843" s="129" t="s">
        <v>1902</v>
      </c>
      <c r="L1843" s="182" t="s">
        <v>155</v>
      </c>
      <c r="M1843" s="436"/>
      <c r="N1843" s="436"/>
      <c r="O1843" s="450"/>
      <c r="P1843" s="450"/>
      <c r="Q1843" s="450"/>
    </row>
    <row r="1844" spans="1:17" ht="15.6">
      <c r="A1844" s="508">
        <v>45894</v>
      </c>
      <c r="B1844" s="367" t="s">
        <v>2900</v>
      </c>
      <c r="C1844" s="439" t="s">
        <v>127</v>
      </c>
      <c r="D1844" s="444" t="s">
        <v>117</v>
      </c>
      <c r="E1844" s="435">
        <v>390827</v>
      </c>
      <c r="F1844" s="325">
        <f t="shared" si="19"/>
        <v>696.73335211126994</v>
      </c>
      <c r="G1844" s="326">
        <v>560.94200000000001</v>
      </c>
      <c r="H1844" s="182" t="s">
        <v>148</v>
      </c>
      <c r="I1844" s="182" t="s">
        <v>2922</v>
      </c>
      <c r="J1844" s="182" t="s">
        <v>98</v>
      </c>
      <c r="K1844" s="129" t="s">
        <v>1902</v>
      </c>
      <c r="L1844" s="182" t="s">
        <v>155</v>
      </c>
      <c r="M1844" s="436"/>
      <c r="N1844" s="436"/>
      <c r="O1844" s="450"/>
      <c r="P1844" s="450"/>
      <c r="Q1844" s="450"/>
    </row>
    <row r="1845" spans="1:17" ht="15.6">
      <c r="A1845" s="508">
        <v>45894</v>
      </c>
      <c r="B1845" s="367" t="s">
        <v>2901</v>
      </c>
      <c r="C1845" s="182" t="s">
        <v>127</v>
      </c>
      <c r="D1845" s="439" t="s">
        <v>117</v>
      </c>
      <c r="E1845" s="435">
        <v>328000</v>
      </c>
      <c r="F1845" s="325">
        <f t="shared" si="19"/>
        <v>584.73068516887668</v>
      </c>
      <c r="G1845" s="326">
        <v>560.94200000000001</v>
      </c>
      <c r="H1845" s="182" t="s">
        <v>148</v>
      </c>
      <c r="I1845" s="182" t="s">
        <v>2923</v>
      </c>
      <c r="J1845" s="182" t="s">
        <v>98</v>
      </c>
      <c r="K1845" s="129" t="s">
        <v>1902</v>
      </c>
      <c r="L1845" s="182" t="s">
        <v>155</v>
      </c>
      <c r="M1845" s="436"/>
      <c r="N1845" s="436"/>
      <c r="O1845" s="450"/>
      <c r="P1845" s="450"/>
      <c r="Q1845" s="450"/>
    </row>
    <row r="1846" spans="1:17" ht="15.6">
      <c r="A1846" s="508">
        <v>45894</v>
      </c>
      <c r="B1846" s="367" t="s">
        <v>2902</v>
      </c>
      <c r="C1846" s="182" t="s">
        <v>127</v>
      </c>
      <c r="D1846" s="439" t="s">
        <v>120</v>
      </c>
      <c r="E1846" s="435">
        <v>266940</v>
      </c>
      <c r="F1846" s="325">
        <f t="shared" si="19"/>
        <v>475.87807652128026</v>
      </c>
      <c r="G1846" s="326">
        <v>560.94200000000001</v>
      </c>
      <c r="H1846" s="182" t="s">
        <v>148</v>
      </c>
      <c r="I1846" s="182" t="s">
        <v>2924</v>
      </c>
      <c r="J1846" s="182" t="s">
        <v>98</v>
      </c>
      <c r="K1846" s="129" t="s">
        <v>1902</v>
      </c>
      <c r="L1846" s="182" t="s">
        <v>155</v>
      </c>
      <c r="M1846" s="436"/>
      <c r="N1846" s="436"/>
      <c r="O1846" s="450"/>
      <c r="P1846" s="450"/>
      <c r="Q1846" s="450"/>
    </row>
    <row r="1847" spans="1:17" ht="15.6">
      <c r="A1847" s="508">
        <v>45894</v>
      </c>
      <c r="B1847" s="367" t="s">
        <v>2903</v>
      </c>
      <c r="C1847" s="182" t="s">
        <v>127</v>
      </c>
      <c r="D1847" s="182" t="s">
        <v>117</v>
      </c>
      <c r="E1847" s="435">
        <v>228800</v>
      </c>
      <c r="F1847" s="325">
        <f t="shared" si="19"/>
        <v>407.88530721536273</v>
      </c>
      <c r="G1847" s="326">
        <v>560.94200000000001</v>
      </c>
      <c r="H1847" s="182" t="s">
        <v>148</v>
      </c>
      <c r="I1847" s="182" t="s">
        <v>2925</v>
      </c>
      <c r="J1847" s="182" t="s">
        <v>98</v>
      </c>
      <c r="K1847" s="129" t="s">
        <v>1902</v>
      </c>
      <c r="L1847" s="182" t="s">
        <v>155</v>
      </c>
      <c r="M1847" s="436"/>
      <c r="N1847" s="436"/>
      <c r="O1847" s="450"/>
      <c r="P1847" s="450"/>
      <c r="Q1847" s="450"/>
    </row>
    <row r="1848" spans="1:17" ht="15.6">
      <c r="A1848" s="508">
        <v>45894</v>
      </c>
      <c r="B1848" s="367" t="s">
        <v>2904</v>
      </c>
      <c r="C1848" s="439" t="s">
        <v>127</v>
      </c>
      <c r="D1848" s="444" t="s">
        <v>119</v>
      </c>
      <c r="E1848" s="435">
        <v>1311000</v>
      </c>
      <c r="F1848" s="325">
        <f t="shared" si="19"/>
        <v>2337.1400251719429</v>
      </c>
      <c r="G1848" s="326">
        <v>560.94200000000001</v>
      </c>
      <c r="H1848" s="182" t="s">
        <v>148</v>
      </c>
      <c r="I1848" s="182" t="s">
        <v>2926</v>
      </c>
      <c r="J1848" s="182" t="s">
        <v>98</v>
      </c>
      <c r="K1848" s="129" t="s">
        <v>1902</v>
      </c>
      <c r="L1848" s="182" t="s">
        <v>155</v>
      </c>
      <c r="M1848" s="436"/>
      <c r="N1848" s="436"/>
      <c r="O1848" s="450"/>
      <c r="P1848" s="450"/>
      <c r="Q1848" s="450"/>
    </row>
    <row r="1849" spans="1:17" ht="15.6">
      <c r="A1849" s="508">
        <v>45894</v>
      </c>
      <c r="B1849" s="367" t="s">
        <v>2906</v>
      </c>
      <c r="C1849" s="182" t="s">
        <v>128</v>
      </c>
      <c r="D1849" s="439" t="s">
        <v>118</v>
      </c>
      <c r="E1849" s="435">
        <v>10665</v>
      </c>
      <c r="F1849" s="325">
        <f t="shared" si="19"/>
        <v>19.012660845506307</v>
      </c>
      <c r="G1849" s="326">
        <v>560.94200000000001</v>
      </c>
      <c r="H1849" s="182" t="s">
        <v>148</v>
      </c>
      <c r="I1849" s="182" t="s">
        <v>2927</v>
      </c>
      <c r="J1849" s="182" t="s">
        <v>98</v>
      </c>
      <c r="K1849" s="129" t="s">
        <v>1902</v>
      </c>
      <c r="L1849" s="182" t="s">
        <v>155</v>
      </c>
      <c r="M1849" s="436"/>
      <c r="N1849" s="436"/>
      <c r="O1849" s="450"/>
      <c r="P1849" s="450"/>
      <c r="Q1849" s="450"/>
    </row>
    <row r="1850" spans="1:17" ht="15.6">
      <c r="A1850" s="535">
        <v>45895</v>
      </c>
      <c r="B1850" s="517" t="s">
        <v>2099</v>
      </c>
      <c r="C1850" s="308" t="s">
        <v>174</v>
      </c>
      <c r="D1850" s="308" t="s">
        <v>119</v>
      </c>
      <c r="E1850" s="517">
        <v>1000</v>
      </c>
      <c r="F1850" s="325">
        <f t="shared" si="19"/>
        <v>1.7827155035636482</v>
      </c>
      <c r="G1850" s="326">
        <v>560.94200000000001</v>
      </c>
      <c r="H1850" s="524" t="s">
        <v>153</v>
      </c>
      <c r="I1850" s="525" t="s">
        <v>2494</v>
      </c>
      <c r="J1850" s="182" t="s">
        <v>98</v>
      </c>
      <c r="K1850" s="129" t="s">
        <v>1902</v>
      </c>
      <c r="L1850" s="182" t="s">
        <v>155</v>
      </c>
      <c r="M1850" s="512"/>
      <c r="N1850" s="512"/>
      <c r="O1850" s="450"/>
      <c r="P1850" s="450"/>
      <c r="Q1850" s="450"/>
    </row>
    <row r="1851" spans="1:17" ht="15.6">
      <c r="A1851" s="535">
        <v>45895</v>
      </c>
      <c r="B1851" s="517" t="s">
        <v>2100</v>
      </c>
      <c r="C1851" s="308" t="s">
        <v>174</v>
      </c>
      <c r="D1851" s="308" t="s">
        <v>119</v>
      </c>
      <c r="E1851" s="517">
        <v>1000</v>
      </c>
      <c r="F1851" s="325"/>
      <c r="G1851" s="326">
        <v>560.94200000000001</v>
      </c>
      <c r="H1851" s="524" t="s">
        <v>153</v>
      </c>
      <c r="I1851" s="525" t="s">
        <v>2494</v>
      </c>
      <c r="J1851" s="182" t="s">
        <v>98</v>
      </c>
      <c r="K1851" s="129" t="s">
        <v>1902</v>
      </c>
      <c r="L1851" s="182" t="s">
        <v>155</v>
      </c>
      <c r="M1851" s="514"/>
      <c r="N1851" s="512"/>
      <c r="O1851" s="450"/>
      <c r="P1851" s="450"/>
      <c r="Q1851" s="450"/>
    </row>
    <row r="1852" spans="1:17" ht="15.6">
      <c r="A1852" s="536">
        <v>45895</v>
      </c>
      <c r="B1852" s="516" t="s">
        <v>2480</v>
      </c>
      <c r="C1852" s="516" t="s">
        <v>174</v>
      </c>
      <c r="D1852" s="516" t="s">
        <v>117</v>
      </c>
      <c r="E1852" s="526">
        <v>500</v>
      </c>
      <c r="F1852" s="325">
        <f t="shared" ref="F1852:F1899" si="20">E1852/G1852</f>
        <v>0.89135775178182408</v>
      </c>
      <c r="G1852" s="326">
        <v>560.94200000000001</v>
      </c>
      <c r="H1852" s="177" t="s">
        <v>200</v>
      </c>
      <c r="I1852" s="516" t="s">
        <v>2489</v>
      </c>
      <c r="J1852" s="182" t="s">
        <v>98</v>
      </c>
      <c r="K1852" s="129" t="s">
        <v>1902</v>
      </c>
      <c r="L1852" s="182" t="s">
        <v>155</v>
      </c>
      <c r="M1852" s="512"/>
      <c r="N1852" s="512"/>
      <c r="O1852" s="450"/>
      <c r="P1852" s="450"/>
      <c r="Q1852" s="450"/>
    </row>
    <row r="1853" spans="1:17" ht="15.6">
      <c r="A1853" s="467">
        <v>45895</v>
      </c>
      <c r="B1853" s="177" t="s">
        <v>2481</v>
      </c>
      <c r="C1853" s="177" t="s">
        <v>2456</v>
      </c>
      <c r="D1853" s="177" t="s">
        <v>2479</v>
      </c>
      <c r="E1853" s="527">
        <v>160000</v>
      </c>
      <c r="F1853" s="325">
        <f t="shared" si="20"/>
        <v>285.23448057018373</v>
      </c>
      <c r="G1853" s="326">
        <v>560.94200000000001</v>
      </c>
      <c r="H1853" s="177" t="s">
        <v>200</v>
      </c>
      <c r="I1853" s="516" t="s">
        <v>2986</v>
      </c>
      <c r="J1853" s="182" t="s">
        <v>98</v>
      </c>
      <c r="K1853" s="129" t="s">
        <v>1902</v>
      </c>
      <c r="L1853" s="182" t="s">
        <v>155</v>
      </c>
      <c r="M1853" s="512"/>
      <c r="N1853" s="512"/>
      <c r="O1853" s="450"/>
      <c r="P1853" s="450"/>
      <c r="Q1853" s="450"/>
    </row>
    <row r="1854" spans="1:17" ht="15.6">
      <c r="A1854" s="467">
        <v>45895</v>
      </c>
      <c r="B1854" s="177" t="s">
        <v>2482</v>
      </c>
      <c r="C1854" s="177" t="s">
        <v>2456</v>
      </c>
      <c r="D1854" s="177" t="s">
        <v>2479</v>
      </c>
      <c r="E1854" s="527">
        <v>20000</v>
      </c>
      <c r="F1854" s="325">
        <f t="shared" si="20"/>
        <v>35.654310071272967</v>
      </c>
      <c r="G1854" s="326">
        <v>560.94200000000001</v>
      </c>
      <c r="H1854" s="177" t="s">
        <v>200</v>
      </c>
      <c r="I1854" s="516" t="s">
        <v>2987</v>
      </c>
      <c r="J1854" s="182" t="s">
        <v>98</v>
      </c>
      <c r="K1854" s="129" t="s">
        <v>1902</v>
      </c>
      <c r="L1854" s="182" t="s">
        <v>155</v>
      </c>
      <c r="M1854" s="512"/>
      <c r="N1854" s="512"/>
      <c r="O1854" s="450"/>
      <c r="P1854" s="450"/>
      <c r="Q1854" s="450"/>
    </row>
    <row r="1855" spans="1:17" ht="15.6">
      <c r="A1855" s="536">
        <v>45895</v>
      </c>
      <c r="B1855" s="516" t="s">
        <v>2483</v>
      </c>
      <c r="C1855" s="516" t="s">
        <v>174</v>
      </c>
      <c r="D1855" s="516" t="s">
        <v>117</v>
      </c>
      <c r="E1855" s="526">
        <v>500</v>
      </c>
      <c r="F1855" s="325">
        <f t="shared" si="20"/>
        <v>0.89135775178182408</v>
      </c>
      <c r="G1855" s="326">
        <v>560.94200000000001</v>
      </c>
      <c r="H1855" s="177" t="s">
        <v>200</v>
      </c>
      <c r="I1855" s="516" t="s">
        <v>2489</v>
      </c>
      <c r="J1855" s="182" t="s">
        <v>98</v>
      </c>
      <c r="K1855" s="129" t="s">
        <v>1902</v>
      </c>
      <c r="L1855" s="182" t="s">
        <v>155</v>
      </c>
      <c r="M1855" s="512"/>
      <c r="N1855" s="512"/>
      <c r="O1855" s="450"/>
      <c r="P1855" s="450"/>
      <c r="Q1855" s="450"/>
    </row>
    <row r="1856" spans="1:17" ht="15.6">
      <c r="A1856" s="504">
        <v>45895</v>
      </c>
      <c r="B1856" s="182" t="s">
        <v>2533</v>
      </c>
      <c r="C1856" s="182" t="s">
        <v>174</v>
      </c>
      <c r="D1856" s="182" t="s">
        <v>118</v>
      </c>
      <c r="E1856" s="435">
        <v>500</v>
      </c>
      <c r="F1856" s="325">
        <f t="shared" si="20"/>
        <v>0.89135775178182408</v>
      </c>
      <c r="G1856" s="326">
        <v>560.94200000000001</v>
      </c>
      <c r="H1856" s="182" t="s">
        <v>583</v>
      </c>
      <c r="I1856" s="182" t="s">
        <v>2536</v>
      </c>
      <c r="J1856" s="182" t="s">
        <v>98</v>
      </c>
      <c r="K1856" s="129" t="s">
        <v>1902</v>
      </c>
      <c r="L1856" s="182" t="s">
        <v>155</v>
      </c>
      <c r="M1856" s="512"/>
      <c r="N1856" s="512"/>
      <c r="O1856" s="450"/>
      <c r="P1856" s="450"/>
      <c r="Q1856" s="450"/>
    </row>
    <row r="1857" spans="1:17" ht="15.6">
      <c r="A1857" s="504">
        <v>45895</v>
      </c>
      <c r="B1857" s="182" t="s">
        <v>2524</v>
      </c>
      <c r="C1857" s="182" t="s">
        <v>174</v>
      </c>
      <c r="D1857" s="182" t="s">
        <v>118</v>
      </c>
      <c r="E1857" s="435">
        <v>500</v>
      </c>
      <c r="F1857" s="325">
        <f t="shared" si="20"/>
        <v>0.89135775178182408</v>
      </c>
      <c r="G1857" s="326">
        <v>560.94200000000001</v>
      </c>
      <c r="H1857" s="182" t="s">
        <v>583</v>
      </c>
      <c r="I1857" s="182" t="s">
        <v>2536</v>
      </c>
      <c r="J1857" s="182" t="s">
        <v>98</v>
      </c>
      <c r="K1857" s="129" t="s">
        <v>1902</v>
      </c>
      <c r="L1857" s="182" t="s">
        <v>155</v>
      </c>
      <c r="M1857" s="513"/>
      <c r="N1857" s="513"/>
      <c r="O1857" s="450"/>
      <c r="P1857" s="450"/>
      <c r="Q1857" s="450"/>
    </row>
    <row r="1858" spans="1:17" ht="15.6">
      <c r="A1858" s="467">
        <v>45895</v>
      </c>
      <c r="B1858" s="177" t="s">
        <v>3026</v>
      </c>
      <c r="C1858" s="177" t="s">
        <v>177</v>
      </c>
      <c r="D1858" s="177" t="s">
        <v>121</v>
      </c>
      <c r="E1858" s="177">
        <v>75000</v>
      </c>
      <c r="F1858" s="325">
        <f t="shared" si="20"/>
        <v>133.70366276727361</v>
      </c>
      <c r="G1858" s="326">
        <v>560.94200000000001</v>
      </c>
      <c r="H1858" s="177" t="s">
        <v>184</v>
      </c>
      <c r="I1858" s="177" t="s">
        <v>2574</v>
      </c>
      <c r="J1858" s="182" t="s">
        <v>98</v>
      </c>
      <c r="K1858" s="129" t="s">
        <v>1902</v>
      </c>
      <c r="L1858" s="182" t="s">
        <v>155</v>
      </c>
      <c r="M1858" s="436"/>
      <c r="N1858" s="436"/>
      <c r="O1858" s="450"/>
      <c r="P1858" s="450"/>
      <c r="Q1858" s="450"/>
    </row>
    <row r="1859" spans="1:17" ht="15.6">
      <c r="A1859" s="467">
        <v>45895</v>
      </c>
      <c r="B1859" s="177" t="s">
        <v>3026</v>
      </c>
      <c r="C1859" s="177" t="s">
        <v>177</v>
      </c>
      <c r="D1859" s="177" t="s">
        <v>121</v>
      </c>
      <c r="E1859" s="177">
        <v>75000</v>
      </c>
      <c r="F1859" s="325">
        <f t="shared" si="20"/>
        <v>133.70366276727361</v>
      </c>
      <c r="G1859" s="326">
        <v>560.94200000000001</v>
      </c>
      <c r="H1859" s="177" t="s">
        <v>184</v>
      </c>
      <c r="I1859" s="177" t="s">
        <v>2575</v>
      </c>
      <c r="J1859" s="182" t="s">
        <v>98</v>
      </c>
      <c r="K1859" s="129" t="s">
        <v>1902</v>
      </c>
      <c r="L1859" s="182" t="s">
        <v>155</v>
      </c>
      <c r="M1859" s="436"/>
      <c r="N1859" s="436"/>
      <c r="O1859" s="450"/>
      <c r="P1859" s="450"/>
      <c r="Q1859" s="450"/>
    </row>
    <row r="1860" spans="1:17" ht="15.6">
      <c r="A1860" s="505">
        <v>45895</v>
      </c>
      <c r="B1860" s="182" t="s">
        <v>3083</v>
      </c>
      <c r="C1860" s="182" t="s">
        <v>174</v>
      </c>
      <c r="D1860" s="177" t="s">
        <v>121</v>
      </c>
      <c r="E1860" s="182">
        <v>500</v>
      </c>
      <c r="F1860" s="325">
        <f t="shared" si="20"/>
        <v>0.89135775178182408</v>
      </c>
      <c r="G1860" s="326">
        <v>560.94200000000001</v>
      </c>
      <c r="H1860" s="182" t="s">
        <v>175</v>
      </c>
      <c r="I1860" s="182" t="s">
        <v>2588</v>
      </c>
      <c r="J1860" s="182" t="s">
        <v>98</v>
      </c>
      <c r="K1860" s="129" t="s">
        <v>1902</v>
      </c>
      <c r="L1860" s="182" t="s">
        <v>155</v>
      </c>
      <c r="M1860" s="436"/>
      <c r="N1860" s="436"/>
      <c r="O1860" s="450"/>
      <c r="P1860" s="450"/>
      <c r="Q1860" s="450"/>
    </row>
    <row r="1861" spans="1:17" ht="15.6">
      <c r="A1861" s="505">
        <v>45895</v>
      </c>
      <c r="B1861" s="182" t="s">
        <v>3083</v>
      </c>
      <c r="C1861" s="182" t="s">
        <v>174</v>
      </c>
      <c r="D1861" s="177" t="s">
        <v>121</v>
      </c>
      <c r="E1861" s="182">
        <v>500</v>
      </c>
      <c r="F1861" s="325">
        <f t="shared" si="20"/>
        <v>0.89135775178182408</v>
      </c>
      <c r="G1861" s="326">
        <v>560.94200000000001</v>
      </c>
      <c r="H1861" s="182" t="s">
        <v>175</v>
      </c>
      <c r="I1861" s="182" t="s">
        <v>2588</v>
      </c>
      <c r="J1861" s="182" t="s">
        <v>98</v>
      </c>
      <c r="K1861" s="129" t="s">
        <v>1902</v>
      </c>
      <c r="L1861" s="182" t="s">
        <v>155</v>
      </c>
      <c r="M1861" s="436"/>
      <c r="N1861" s="436"/>
      <c r="O1861" s="450"/>
      <c r="P1861" s="450"/>
      <c r="Q1861" s="450"/>
    </row>
    <row r="1862" spans="1:17" ht="15.6">
      <c r="A1862" s="506">
        <v>45895</v>
      </c>
      <c r="B1862" s="182" t="s">
        <v>2418</v>
      </c>
      <c r="C1862" s="182" t="s">
        <v>172</v>
      </c>
      <c r="D1862" s="182" t="s">
        <v>2241</v>
      </c>
      <c r="E1862" s="435">
        <v>25000</v>
      </c>
      <c r="F1862" s="325">
        <f t="shared" si="20"/>
        <v>44.567887589091207</v>
      </c>
      <c r="G1862" s="326">
        <v>560.94200000000001</v>
      </c>
      <c r="H1862" s="182" t="s">
        <v>190</v>
      </c>
      <c r="I1862" s="182" t="s">
        <v>2419</v>
      </c>
      <c r="J1862" s="182" t="s">
        <v>98</v>
      </c>
      <c r="K1862" s="129" t="s">
        <v>1902</v>
      </c>
      <c r="L1862" s="182" t="s">
        <v>155</v>
      </c>
      <c r="M1862" s="436"/>
      <c r="N1862" s="436"/>
      <c r="O1862" s="450"/>
      <c r="P1862" s="450"/>
      <c r="Q1862" s="450"/>
    </row>
    <row r="1863" spans="1:17" ht="15.6">
      <c r="A1863" s="503">
        <v>45895</v>
      </c>
      <c r="B1863" s="182" t="s">
        <v>2796</v>
      </c>
      <c r="C1863" s="517" t="s">
        <v>196</v>
      </c>
      <c r="D1863" s="517" t="s">
        <v>117</v>
      </c>
      <c r="E1863" s="496">
        <v>500</v>
      </c>
      <c r="F1863" s="325">
        <f t="shared" si="20"/>
        <v>0.89135775178182408</v>
      </c>
      <c r="G1863" s="326">
        <v>560.94200000000001</v>
      </c>
      <c r="H1863" s="517" t="s">
        <v>437</v>
      </c>
      <c r="I1863" s="182" t="s">
        <v>2817</v>
      </c>
      <c r="J1863" s="182" t="s">
        <v>98</v>
      </c>
      <c r="K1863" s="129" t="s">
        <v>1902</v>
      </c>
      <c r="L1863" s="182" t="s">
        <v>155</v>
      </c>
      <c r="M1863" s="436"/>
      <c r="N1863" s="436"/>
      <c r="O1863" s="450"/>
      <c r="P1863" s="450"/>
      <c r="Q1863" s="450"/>
    </row>
    <row r="1864" spans="1:17" ht="15.6">
      <c r="A1864" s="503">
        <v>45895</v>
      </c>
      <c r="B1864" s="182" t="s">
        <v>2797</v>
      </c>
      <c r="C1864" s="182" t="s">
        <v>313</v>
      </c>
      <c r="D1864" s="517" t="s">
        <v>117</v>
      </c>
      <c r="E1864" s="496">
        <v>1500</v>
      </c>
      <c r="F1864" s="325">
        <f t="shared" si="20"/>
        <v>2.6740732553454722</v>
      </c>
      <c r="G1864" s="326">
        <v>560.94200000000001</v>
      </c>
      <c r="H1864" s="517" t="s">
        <v>437</v>
      </c>
      <c r="I1864" s="182" t="s">
        <v>2828</v>
      </c>
      <c r="J1864" s="182" t="s">
        <v>98</v>
      </c>
      <c r="K1864" s="129" t="s">
        <v>1902</v>
      </c>
      <c r="L1864" s="182" t="s">
        <v>155</v>
      </c>
      <c r="M1864" s="436"/>
      <c r="N1864" s="436"/>
      <c r="O1864" s="450"/>
      <c r="P1864" s="450"/>
      <c r="Q1864" s="450"/>
    </row>
    <row r="1865" spans="1:17" ht="15.6">
      <c r="A1865" s="503">
        <v>45895</v>
      </c>
      <c r="B1865" s="182" t="s">
        <v>2795</v>
      </c>
      <c r="C1865" s="517" t="s">
        <v>196</v>
      </c>
      <c r="D1865" s="517" t="s">
        <v>117</v>
      </c>
      <c r="E1865" s="496">
        <v>500</v>
      </c>
      <c r="F1865" s="325">
        <f t="shared" si="20"/>
        <v>0.89135775178182408</v>
      </c>
      <c r="G1865" s="326">
        <v>560.94200000000001</v>
      </c>
      <c r="H1865" s="517" t="s">
        <v>437</v>
      </c>
      <c r="I1865" s="182" t="s">
        <v>2817</v>
      </c>
      <c r="J1865" s="182" t="s">
        <v>98</v>
      </c>
      <c r="K1865" s="129" t="s">
        <v>1902</v>
      </c>
      <c r="L1865" s="182" t="s">
        <v>155</v>
      </c>
      <c r="M1865" s="436"/>
      <c r="N1865" s="436"/>
      <c r="O1865" s="450"/>
      <c r="P1865" s="450"/>
      <c r="Q1865" s="450"/>
    </row>
    <row r="1866" spans="1:17" ht="15.6">
      <c r="A1866" s="503">
        <v>45895</v>
      </c>
      <c r="B1866" s="182" t="s">
        <v>2798</v>
      </c>
      <c r="C1866" s="517" t="s">
        <v>196</v>
      </c>
      <c r="D1866" s="517" t="s">
        <v>117</v>
      </c>
      <c r="E1866" s="496">
        <v>500</v>
      </c>
      <c r="F1866" s="325">
        <f t="shared" si="20"/>
        <v>0.89135775178182408</v>
      </c>
      <c r="G1866" s="326">
        <v>560.94200000000001</v>
      </c>
      <c r="H1866" s="517" t="s">
        <v>437</v>
      </c>
      <c r="I1866" s="182" t="s">
        <v>2817</v>
      </c>
      <c r="J1866" s="182" t="s">
        <v>98</v>
      </c>
      <c r="K1866" s="129" t="s">
        <v>1902</v>
      </c>
      <c r="L1866" s="182" t="s">
        <v>155</v>
      </c>
      <c r="M1866" s="436"/>
      <c r="N1866" s="436"/>
      <c r="O1866" s="450"/>
      <c r="P1866" s="450"/>
      <c r="Q1866" s="450"/>
    </row>
    <row r="1867" spans="1:17" ht="15.6">
      <c r="A1867" s="503">
        <v>45895</v>
      </c>
      <c r="B1867" s="182" t="s">
        <v>2799</v>
      </c>
      <c r="C1867" s="517" t="s">
        <v>196</v>
      </c>
      <c r="D1867" s="517" t="s">
        <v>117</v>
      </c>
      <c r="E1867" s="496">
        <v>500</v>
      </c>
      <c r="F1867" s="325">
        <f t="shared" si="20"/>
        <v>0.89135775178182408</v>
      </c>
      <c r="G1867" s="326">
        <v>560.94200000000001</v>
      </c>
      <c r="H1867" s="517" t="s">
        <v>437</v>
      </c>
      <c r="I1867" s="182" t="s">
        <v>2817</v>
      </c>
      <c r="J1867" s="182" t="s">
        <v>98</v>
      </c>
      <c r="K1867" s="129" t="s">
        <v>1902</v>
      </c>
      <c r="L1867" s="182" t="s">
        <v>155</v>
      </c>
      <c r="M1867" s="436"/>
      <c r="N1867" s="436"/>
      <c r="O1867" s="450"/>
      <c r="P1867" s="450"/>
      <c r="Q1867" s="450"/>
    </row>
    <row r="1868" spans="1:17" ht="15.6">
      <c r="A1868" s="503">
        <v>45895</v>
      </c>
      <c r="B1868" s="182" t="s">
        <v>2800</v>
      </c>
      <c r="C1868" s="517" t="s">
        <v>196</v>
      </c>
      <c r="D1868" s="517" t="s">
        <v>117</v>
      </c>
      <c r="E1868" s="496">
        <v>500</v>
      </c>
      <c r="F1868" s="325">
        <f t="shared" si="20"/>
        <v>0.89135775178182408</v>
      </c>
      <c r="G1868" s="326">
        <v>560.94200000000001</v>
      </c>
      <c r="H1868" s="517" t="s">
        <v>437</v>
      </c>
      <c r="I1868" s="182" t="s">
        <v>2817</v>
      </c>
      <c r="J1868" s="182" t="s">
        <v>98</v>
      </c>
      <c r="K1868" s="129" t="s">
        <v>1902</v>
      </c>
      <c r="L1868" s="182" t="s">
        <v>155</v>
      </c>
      <c r="M1868" s="436"/>
      <c r="N1868" s="436"/>
      <c r="O1868" s="450"/>
      <c r="P1868" s="450"/>
      <c r="Q1868" s="450"/>
    </row>
    <row r="1869" spans="1:17" ht="15.6">
      <c r="A1869" s="503">
        <v>45895</v>
      </c>
      <c r="B1869" s="182" t="s">
        <v>2794</v>
      </c>
      <c r="C1869" s="182" t="s">
        <v>313</v>
      </c>
      <c r="D1869" s="517" t="s">
        <v>117</v>
      </c>
      <c r="E1869" s="496">
        <v>1500</v>
      </c>
      <c r="F1869" s="325">
        <f t="shared" si="20"/>
        <v>2.6740732553454722</v>
      </c>
      <c r="G1869" s="326">
        <v>560.94200000000001</v>
      </c>
      <c r="H1869" s="517" t="s">
        <v>437</v>
      </c>
      <c r="I1869" s="182" t="s">
        <v>2828</v>
      </c>
      <c r="J1869" s="182" t="s">
        <v>98</v>
      </c>
      <c r="K1869" s="129" t="s">
        <v>1902</v>
      </c>
      <c r="L1869" s="182" t="s">
        <v>155</v>
      </c>
      <c r="M1869" s="436"/>
      <c r="N1869" s="436"/>
      <c r="O1869" s="450"/>
      <c r="P1869" s="450"/>
      <c r="Q1869" s="450"/>
    </row>
    <row r="1870" spans="1:17" ht="15.6">
      <c r="A1870" s="503">
        <v>45895</v>
      </c>
      <c r="B1870" s="182" t="s">
        <v>2795</v>
      </c>
      <c r="C1870" s="517" t="s">
        <v>196</v>
      </c>
      <c r="D1870" s="517" t="s">
        <v>117</v>
      </c>
      <c r="E1870" s="496">
        <v>500</v>
      </c>
      <c r="F1870" s="325">
        <f t="shared" si="20"/>
        <v>0.89135775178182408</v>
      </c>
      <c r="G1870" s="326">
        <v>560.94200000000001</v>
      </c>
      <c r="H1870" s="517" t="s">
        <v>437</v>
      </c>
      <c r="I1870" s="182" t="s">
        <v>2817</v>
      </c>
      <c r="J1870" s="182" t="s">
        <v>98</v>
      </c>
      <c r="K1870" s="129" t="s">
        <v>1902</v>
      </c>
      <c r="L1870" s="182" t="s">
        <v>155</v>
      </c>
      <c r="M1870" s="436"/>
      <c r="N1870" s="436"/>
      <c r="O1870" s="450"/>
      <c r="P1870" s="450"/>
      <c r="Q1870" s="450"/>
    </row>
    <row r="1871" spans="1:17" ht="15.6">
      <c r="A1871" s="505">
        <v>45895</v>
      </c>
      <c r="B1871" s="182" t="s">
        <v>2847</v>
      </c>
      <c r="C1871" s="182" t="s">
        <v>174</v>
      </c>
      <c r="D1871" s="182" t="s">
        <v>120</v>
      </c>
      <c r="E1871" s="496">
        <v>500</v>
      </c>
      <c r="F1871" s="325">
        <f t="shared" si="20"/>
        <v>0.89135775178182408</v>
      </c>
      <c r="G1871" s="326">
        <v>560.94200000000001</v>
      </c>
      <c r="H1871" s="182" t="s">
        <v>213</v>
      </c>
      <c r="I1871" s="182" t="s">
        <v>2853</v>
      </c>
      <c r="J1871" s="182" t="s">
        <v>98</v>
      </c>
      <c r="K1871" s="129" t="s">
        <v>1902</v>
      </c>
      <c r="L1871" s="182" t="s">
        <v>155</v>
      </c>
      <c r="M1871" s="436"/>
      <c r="N1871" s="436"/>
      <c r="O1871" s="450"/>
      <c r="P1871" s="450"/>
      <c r="Q1871" s="450"/>
    </row>
    <row r="1872" spans="1:17" ht="15.6">
      <c r="A1872" s="505">
        <v>45895</v>
      </c>
      <c r="B1872" s="182" t="s">
        <v>2848</v>
      </c>
      <c r="C1872" s="182" t="s">
        <v>174</v>
      </c>
      <c r="D1872" s="182" t="s">
        <v>120</v>
      </c>
      <c r="E1872" s="496">
        <v>500</v>
      </c>
      <c r="F1872" s="325">
        <f t="shared" si="20"/>
        <v>0.89135775178182408</v>
      </c>
      <c r="G1872" s="326">
        <v>560.94200000000001</v>
      </c>
      <c r="H1872" s="182" t="s">
        <v>213</v>
      </c>
      <c r="I1872" s="182" t="s">
        <v>2853</v>
      </c>
      <c r="J1872" s="182" t="s">
        <v>98</v>
      </c>
      <c r="K1872" s="129" t="s">
        <v>1902</v>
      </c>
      <c r="L1872" s="182" t="s">
        <v>155</v>
      </c>
      <c r="M1872" s="436"/>
      <c r="N1872" s="436"/>
      <c r="O1872" s="450"/>
      <c r="P1872" s="450"/>
      <c r="Q1872" s="450"/>
    </row>
    <row r="1873" spans="1:17" ht="15.6">
      <c r="A1873" s="505">
        <v>45895</v>
      </c>
      <c r="B1873" s="182" t="s">
        <v>2849</v>
      </c>
      <c r="C1873" s="182" t="s">
        <v>174</v>
      </c>
      <c r="D1873" s="182" t="s">
        <v>120</v>
      </c>
      <c r="E1873" s="496">
        <v>500</v>
      </c>
      <c r="F1873" s="325">
        <f t="shared" si="20"/>
        <v>0.89135775178182408</v>
      </c>
      <c r="G1873" s="326">
        <v>560.94200000000001</v>
      </c>
      <c r="H1873" s="182" t="s">
        <v>213</v>
      </c>
      <c r="I1873" s="182" t="s">
        <v>2853</v>
      </c>
      <c r="J1873" s="182" t="s">
        <v>98</v>
      </c>
      <c r="K1873" s="129" t="s">
        <v>1902</v>
      </c>
      <c r="L1873" s="182" t="s">
        <v>155</v>
      </c>
      <c r="M1873" s="436"/>
      <c r="N1873" s="436"/>
      <c r="O1873" s="450"/>
      <c r="P1873" s="450"/>
      <c r="Q1873" s="450"/>
    </row>
    <row r="1874" spans="1:17" ht="15.6">
      <c r="A1874" s="505">
        <v>45895</v>
      </c>
      <c r="B1874" s="182" t="s">
        <v>2846</v>
      </c>
      <c r="C1874" s="182" t="s">
        <v>174</v>
      </c>
      <c r="D1874" s="182" t="s">
        <v>120</v>
      </c>
      <c r="E1874" s="496">
        <v>500</v>
      </c>
      <c r="F1874" s="325">
        <f t="shared" si="20"/>
        <v>0.89135775178182408</v>
      </c>
      <c r="G1874" s="326">
        <v>560.94200000000001</v>
      </c>
      <c r="H1874" s="182" t="s">
        <v>213</v>
      </c>
      <c r="I1874" s="182" t="s">
        <v>2853</v>
      </c>
      <c r="J1874" s="182" t="s">
        <v>98</v>
      </c>
      <c r="K1874" s="129" t="s">
        <v>1902</v>
      </c>
      <c r="L1874" s="182" t="s">
        <v>155</v>
      </c>
      <c r="M1874" s="436"/>
      <c r="N1874" s="436"/>
      <c r="O1874" s="450"/>
      <c r="P1874" s="450"/>
      <c r="Q1874" s="450"/>
    </row>
    <row r="1875" spans="1:17" ht="15.6">
      <c r="A1875" s="506">
        <v>45895</v>
      </c>
      <c r="B1875" s="182" t="s">
        <v>2956</v>
      </c>
      <c r="C1875" s="182" t="s">
        <v>2088</v>
      </c>
      <c r="D1875" s="182" t="s">
        <v>120</v>
      </c>
      <c r="E1875" s="435">
        <v>6000</v>
      </c>
      <c r="F1875" s="325">
        <f t="shared" si="20"/>
        <v>10.696293021381889</v>
      </c>
      <c r="G1875" s="326">
        <v>560.94200000000001</v>
      </c>
      <c r="H1875" s="182" t="s">
        <v>213</v>
      </c>
      <c r="I1875" s="182" t="s">
        <v>2411</v>
      </c>
      <c r="J1875" s="182" t="s">
        <v>98</v>
      </c>
      <c r="K1875" s="129" t="s">
        <v>1902</v>
      </c>
      <c r="L1875" s="182" t="s">
        <v>155</v>
      </c>
      <c r="M1875" s="436"/>
      <c r="N1875" s="436"/>
      <c r="O1875" s="450"/>
      <c r="P1875" s="450"/>
      <c r="Q1875" s="450"/>
    </row>
    <row r="1876" spans="1:17" ht="15.6">
      <c r="A1876" s="505">
        <v>45895</v>
      </c>
      <c r="B1876" s="182" t="s">
        <v>2957</v>
      </c>
      <c r="C1876" s="182" t="s">
        <v>2088</v>
      </c>
      <c r="D1876" s="182" t="s">
        <v>120</v>
      </c>
      <c r="E1876" s="435">
        <v>6000</v>
      </c>
      <c r="F1876" s="325">
        <f t="shared" si="20"/>
        <v>10.696293021381889</v>
      </c>
      <c r="G1876" s="326">
        <v>560.94200000000001</v>
      </c>
      <c r="H1876" s="182" t="s">
        <v>213</v>
      </c>
      <c r="I1876" s="182" t="s">
        <v>2411</v>
      </c>
      <c r="J1876" s="182" t="s">
        <v>98</v>
      </c>
      <c r="K1876" s="129" t="s">
        <v>1902</v>
      </c>
      <c r="L1876" s="182" t="s">
        <v>155</v>
      </c>
      <c r="M1876" s="436"/>
      <c r="N1876" s="436"/>
      <c r="O1876" s="450"/>
      <c r="P1876" s="450"/>
      <c r="Q1876" s="450"/>
    </row>
    <row r="1877" spans="1:17" ht="15.6">
      <c r="A1877" s="506">
        <v>45895</v>
      </c>
      <c r="B1877" s="182" t="s">
        <v>2958</v>
      </c>
      <c r="C1877" s="182" t="s">
        <v>2088</v>
      </c>
      <c r="D1877" s="182" t="s">
        <v>120</v>
      </c>
      <c r="E1877" s="435">
        <v>6000</v>
      </c>
      <c r="F1877" s="325">
        <f t="shared" si="20"/>
        <v>10.696293021381889</v>
      </c>
      <c r="G1877" s="326">
        <v>560.94200000000001</v>
      </c>
      <c r="H1877" s="182" t="s">
        <v>213</v>
      </c>
      <c r="I1877" s="182" t="s">
        <v>2411</v>
      </c>
      <c r="J1877" s="182" t="s">
        <v>98</v>
      </c>
      <c r="K1877" s="129" t="s">
        <v>1902</v>
      </c>
      <c r="L1877" s="182" t="s">
        <v>155</v>
      </c>
      <c r="M1877" s="436"/>
      <c r="N1877" s="436"/>
      <c r="O1877" s="450"/>
      <c r="P1877" s="450"/>
      <c r="Q1877" s="450"/>
    </row>
    <row r="1878" spans="1:17" ht="15.6">
      <c r="A1878" s="505">
        <v>45895</v>
      </c>
      <c r="B1878" s="182" t="s">
        <v>2959</v>
      </c>
      <c r="C1878" s="182" t="s">
        <v>2088</v>
      </c>
      <c r="D1878" s="182" t="s">
        <v>120</v>
      </c>
      <c r="E1878" s="435">
        <v>6000</v>
      </c>
      <c r="F1878" s="325">
        <f t="shared" si="20"/>
        <v>10.696293021381889</v>
      </c>
      <c r="G1878" s="326">
        <v>560.94200000000001</v>
      </c>
      <c r="H1878" s="182" t="s">
        <v>213</v>
      </c>
      <c r="I1878" s="182" t="s">
        <v>2411</v>
      </c>
      <c r="J1878" s="182" t="s">
        <v>98</v>
      </c>
      <c r="K1878" s="129" t="s">
        <v>1902</v>
      </c>
      <c r="L1878" s="182" t="s">
        <v>155</v>
      </c>
      <c r="M1878" s="436"/>
      <c r="N1878" s="436"/>
      <c r="O1878" s="450"/>
      <c r="P1878" s="450"/>
      <c r="Q1878" s="450"/>
    </row>
    <row r="1879" spans="1:17" ht="15.6">
      <c r="A1879" s="506">
        <v>45895</v>
      </c>
      <c r="B1879" s="182" t="s">
        <v>2960</v>
      </c>
      <c r="C1879" s="182" t="s">
        <v>2088</v>
      </c>
      <c r="D1879" s="182" t="s">
        <v>120</v>
      </c>
      <c r="E1879" s="435">
        <v>6000</v>
      </c>
      <c r="F1879" s="325">
        <f t="shared" si="20"/>
        <v>10.696293021381889</v>
      </c>
      <c r="G1879" s="326">
        <v>560.94200000000001</v>
      </c>
      <c r="H1879" s="182" t="s">
        <v>213</v>
      </c>
      <c r="I1879" s="182" t="s">
        <v>2411</v>
      </c>
      <c r="J1879" s="182" t="s">
        <v>98</v>
      </c>
      <c r="K1879" s="129" t="s">
        <v>1902</v>
      </c>
      <c r="L1879" s="182" t="s">
        <v>155</v>
      </c>
      <c r="M1879" s="436"/>
      <c r="N1879" s="436"/>
      <c r="O1879" s="450"/>
      <c r="P1879" s="450"/>
      <c r="Q1879" s="450"/>
    </row>
    <row r="1880" spans="1:17" ht="15.6">
      <c r="A1880" s="505">
        <v>45895</v>
      </c>
      <c r="B1880" s="182" t="s">
        <v>2961</v>
      </c>
      <c r="C1880" s="182" t="s">
        <v>2088</v>
      </c>
      <c r="D1880" s="182" t="s">
        <v>120</v>
      </c>
      <c r="E1880" s="435">
        <v>6000</v>
      </c>
      <c r="F1880" s="325">
        <f t="shared" si="20"/>
        <v>10.696293021381889</v>
      </c>
      <c r="G1880" s="326">
        <v>560.94200000000001</v>
      </c>
      <c r="H1880" s="182" t="s">
        <v>213</v>
      </c>
      <c r="I1880" s="182" t="s">
        <v>2411</v>
      </c>
      <c r="J1880" s="182" t="s">
        <v>98</v>
      </c>
      <c r="K1880" s="129" t="s">
        <v>1902</v>
      </c>
      <c r="L1880" s="182" t="s">
        <v>155</v>
      </c>
      <c r="M1880" s="436"/>
      <c r="N1880" s="436"/>
      <c r="O1880" s="450"/>
      <c r="P1880" s="450"/>
      <c r="Q1880" s="450"/>
    </row>
    <row r="1881" spans="1:17" ht="15.6">
      <c r="A1881" s="506">
        <v>45895</v>
      </c>
      <c r="B1881" s="182" t="s">
        <v>2962</v>
      </c>
      <c r="C1881" s="182" t="s">
        <v>2088</v>
      </c>
      <c r="D1881" s="182" t="s">
        <v>120</v>
      </c>
      <c r="E1881" s="435">
        <v>6000</v>
      </c>
      <c r="F1881" s="325">
        <f t="shared" si="20"/>
        <v>10.696293021381889</v>
      </c>
      <c r="G1881" s="326">
        <v>560.94200000000001</v>
      </c>
      <c r="H1881" s="182" t="s">
        <v>213</v>
      </c>
      <c r="I1881" s="182" t="s">
        <v>2411</v>
      </c>
      <c r="J1881" s="182" t="s">
        <v>98</v>
      </c>
      <c r="K1881" s="129" t="s">
        <v>1902</v>
      </c>
      <c r="L1881" s="182" t="s">
        <v>155</v>
      </c>
      <c r="M1881" s="436"/>
      <c r="N1881" s="436"/>
      <c r="O1881" s="450"/>
      <c r="P1881" s="450"/>
      <c r="Q1881" s="450"/>
    </row>
    <row r="1882" spans="1:17" ht="15.6">
      <c r="A1882" s="505">
        <v>45895</v>
      </c>
      <c r="B1882" s="182" t="s">
        <v>2963</v>
      </c>
      <c r="C1882" s="182" t="s">
        <v>2088</v>
      </c>
      <c r="D1882" s="182" t="s">
        <v>120</v>
      </c>
      <c r="E1882" s="435">
        <v>6000</v>
      </c>
      <c r="F1882" s="325">
        <f t="shared" si="20"/>
        <v>10.696293021381889</v>
      </c>
      <c r="G1882" s="326">
        <v>560.94200000000001</v>
      </c>
      <c r="H1882" s="182" t="s">
        <v>213</v>
      </c>
      <c r="I1882" s="182" t="s">
        <v>2411</v>
      </c>
      <c r="J1882" s="182" t="s">
        <v>98</v>
      </c>
      <c r="K1882" s="129" t="s">
        <v>1902</v>
      </c>
      <c r="L1882" s="182" t="s">
        <v>155</v>
      </c>
      <c r="M1882" s="436"/>
      <c r="N1882" s="436"/>
      <c r="O1882" s="450"/>
      <c r="P1882" s="450"/>
      <c r="Q1882" s="450"/>
    </row>
    <row r="1883" spans="1:17" ht="15.6">
      <c r="A1883" s="506">
        <v>45895</v>
      </c>
      <c r="B1883" s="182" t="s">
        <v>2964</v>
      </c>
      <c r="C1883" s="182" t="s">
        <v>2088</v>
      </c>
      <c r="D1883" s="182" t="s">
        <v>120</v>
      </c>
      <c r="E1883" s="435">
        <v>6000</v>
      </c>
      <c r="F1883" s="325">
        <f t="shared" si="20"/>
        <v>10.696293021381889</v>
      </c>
      <c r="G1883" s="326">
        <v>560.94200000000001</v>
      </c>
      <c r="H1883" s="182" t="s">
        <v>213</v>
      </c>
      <c r="I1883" s="182" t="s">
        <v>2411</v>
      </c>
      <c r="J1883" s="182" t="s">
        <v>98</v>
      </c>
      <c r="K1883" s="129" t="s">
        <v>1902</v>
      </c>
      <c r="L1883" s="182" t="s">
        <v>155</v>
      </c>
      <c r="M1883" s="436"/>
      <c r="N1883" s="436"/>
      <c r="O1883" s="450"/>
      <c r="P1883" s="450"/>
      <c r="Q1883" s="450"/>
    </row>
    <row r="1884" spans="1:17" ht="15.6">
      <c r="A1884" s="505">
        <v>45895</v>
      </c>
      <c r="B1884" s="182" t="s">
        <v>2965</v>
      </c>
      <c r="C1884" s="182" t="s">
        <v>2088</v>
      </c>
      <c r="D1884" s="182" t="s">
        <v>120</v>
      </c>
      <c r="E1884" s="435">
        <v>6000</v>
      </c>
      <c r="F1884" s="325">
        <f t="shared" si="20"/>
        <v>10.696293021381889</v>
      </c>
      <c r="G1884" s="326">
        <v>560.94200000000001</v>
      </c>
      <c r="H1884" s="182" t="s">
        <v>213</v>
      </c>
      <c r="I1884" s="182" t="s">
        <v>2411</v>
      </c>
      <c r="J1884" s="182" t="s">
        <v>98</v>
      </c>
      <c r="K1884" s="129" t="s">
        <v>1902</v>
      </c>
      <c r="L1884" s="182" t="s">
        <v>155</v>
      </c>
      <c r="M1884" s="436"/>
      <c r="N1884" s="436"/>
      <c r="O1884" s="450"/>
      <c r="P1884" s="450"/>
      <c r="Q1884" s="450"/>
    </row>
    <row r="1885" spans="1:17" ht="15.6">
      <c r="A1885" s="506">
        <v>45895</v>
      </c>
      <c r="B1885" s="182" t="s">
        <v>2966</v>
      </c>
      <c r="C1885" s="182" t="s">
        <v>2088</v>
      </c>
      <c r="D1885" s="182" t="s">
        <v>120</v>
      </c>
      <c r="E1885" s="435">
        <v>6000</v>
      </c>
      <c r="F1885" s="325">
        <f t="shared" si="20"/>
        <v>10.696293021381889</v>
      </c>
      <c r="G1885" s="326">
        <v>560.94200000000001</v>
      </c>
      <c r="H1885" s="182" t="s">
        <v>213</v>
      </c>
      <c r="I1885" s="182" t="s">
        <v>2411</v>
      </c>
      <c r="J1885" s="182" t="s">
        <v>98</v>
      </c>
      <c r="K1885" s="129" t="s">
        <v>1902</v>
      </c>
      <c r="L1885" s="182" t="s">
        <v>155</v>
      </c>
      <c r="M1885" s="436"/>
      <c r="N1885" s="436"/>
      <c r="O1885" s="450"/>
      <c r="P1885" s="450"/>
      <c r="Q1885" s="450"/>
    </row>
    <row r="1886" spans="1:17" ht="15.6">
      <c r="A1886" s="505">
        <v>45895</v>
      </c>
      <c r="B1886" s="182" t="s">
        <v>2967</v>
      </c>
      <c r="C1886" s="182" t="s">
        <v>2088</v>
      </c>
      <c r="D1886" s="182" t="s">
        <v>120</v>
      </c>
      <c r="E1886" s="435">
        <v>6000</v>
      </c>
      <c r="F1886" s="325">
        <f t="shared" si="20"/>
        <v>10.696293021381889</v>
      </c>
      <c r="G1886" s="326">
        <v>560.94200000000001</v>
      </c>
      <c r="H1886" s="182" t="s">
        <v>213</v>
      </c>
      <c r="I1886" s="182" t="s">
        <v>2411</v>
      </c>
      <c r="J1886" s="182" t="s">
        <v>98</v>
      </c>
      <c r="K1886" s="129" t="s">
        <v>1902</v>
      </c>
      <c r="L1886" s="182" t="s">
        <v>155</v>
      </c>
      <c r="M1886" s="436"/>
      <c r="N1886" s="436"/>
      <c r="O1886" s="450"/>
      <c r="P1886" s="450"/>
      <c r="Q1886" s="450"/>
    </row>
    <row r="1887" spans="1:17" ht="15.6">
      <c r="A1887" s="506">
        <v>45895</v>
      </c>
      <c r="B1887" s="182" t="s">
        <v>2968</v>
      </c>
      <c r="C1887" s="182" t="s">
        <v>2088</v>
      </c>
      <c r="D1887" s="182" t="s">
        <v>120</v>
      </c>
      <c r="E1887" s="435">
        <v>6000</v>
      </c>
      <c r="F1887" s="325">
        <f t="shared" si="20"/>
        <v>10.696293021381889</v>
      </c>
      <c r="G1887" s="326">
        <v>560.94200000000001</v>
      </c>
      <c r="H1887" s="182" t="s">
        <v>213</v>
      </c>
      <c r="I1887" s="182" t="s">
        <v>2411</v>
      </c>
      <c r="J1887" s="182" t="s">
        <v>98</v>
      </c>
      <c r="K1887" s="129" t="s">
        <v>1902</v>
      </c>
      <c r="L1887" s="182" t="s">
        <v>155</v>
      </c>
      <c r="M1887" s="436"/>
      <c r="N1887" s="436"/>
      <c r="O1887" s="450"/>
      <c r="P1887" s="450"/>
      <c r="Q1887" s="450"/>
    </row>
    <row r="1888" spans="1:17" ht="15.6">
      <c r="A1888" s="505">
        <v>45895</v>
      </c>
      <c r="B1888" s="182" t="s">
        <v>2969</v>
      </c>
      <c r="C1888" s="182" t="s">
        <v>2088</v>
      </c>
      <c r="D1888" s="182" t="s">
        <v>120</v>
      </c>
      <c r="E1888" s="435">
        <v>6000</v>
      </c>
      <c r="F1888" s="325">
        <f t="shared" si="20"/>
        <v>10.696293021381889</v>
      </c>
      <c r="G1888" s="326">
        <v>560.94200000000001</v>
      </c>
      <c r="H1888" s="182" t="s">
        <v>213</v>
      </c>
      <c r="I1888" s="182" t="s">
        <v>2411</v>
      </c>
      <c r="J1888" s="182" t="s">
        <v>98</v>
      </c>
      <c r="K1888" s="129" t="s">
        <v>1902</v>
      </c>
      <c r="L1888" s="182" t="s">
        <v>155</v>
      </c>
      <c r="M1888" s="436"/>
      <c r="N1888" s="436"/>
      <c r="O1888" s="450"/>
      <c r="P1888" s="450"/>
      <c r="Q1888" s="450"/>
    </row>
    <row r="1889" spans="1:17" ht="15.6">
      <c r="A1889" s="506">
        <v>45895</v>
      </c>
      <c r="B1889" s="182" t="s">
        <v>2970</v>
      </c>
      <c r="C1889" s="182" t="s">
        <v>2088</v>
      </c>
      <c r="D1889" s="182" t="s">
        <v>120</v>
      </c>
      <c r="E1889" s="435">
        <v>10000</v>
      </c>
      <c r="F1889" s="325">
        <f t="shared" si="20"/>
        <v>17.827155035636483</v>
      </c>
      <c r="G1889" s="326">
        <v>560.94200000000001</v>
      </c>
      <c r="H1889" s="182" t="s">
        <v>213</v>
      </c>
      <c r="I1889" s="182" t="s">
        <v>2413</v>
      </c>
      <c r="J1889" s="182" t="s">
        <v>98</v>
      </c>
      <c r="K1889" s="129" t="s">
        <v>1902</v>
      </c>
      <c r="L1889" s="182" t="s">
        <v>155</v>
      </c>
      <c r="M1889" s="436"/>
      <c r="N1889" s="436"/>
      <c r="O1889" s="450"/>
      <c r="P1889" s="450"/>
      <c r="Q1889" s="450"/>
    </row>
    <row r="1890" spans="1:17" ht="15.6">
      <c r="A1890" s="505">
        <v>45895</v>
      </c>
      <c r="B1890" s="182" t="s">
        <v>2971</v>
      </c>
      <c r="C1890" s="182" t="s">
        <v>2088</v>
      </c>
      <c r="D1890" s="182" t="s">
        <v>120</v>
      </c>
      <c r="E1890" s="435">
        <v>10000</v>
      </c>
      <c r="F1890" s="325">
        <f t="shared" si="20"/>
        <v>17.827155035636483</v>
      </c>
      <c r="G1890" s="326">
        <v>560.94200000000001</v>
      </c>
      <c r="H1890" s="182" t="s">
        <v>213</v>
      </c>
      <c r="I1890" s="182" t="s">
        <v>2413</v>
      </c>
      <c r="J1890" s="182" t="s">
        <v>98</v>
      </c>
      <c r="K1890" s="129" t="s">
        <v>1902</v>
      </c>
      <c r="L1890" s="182" t="s">
        <v>155</v>
      </c>
      <c r="M1890" s="436"/>
      <c r="N1890" s="436"/>
      <c r="O1890" s="450"/>
      <c r="P1890" s="450"/>
      <c r="Q1890" s="450"/>
    </row>
    <row r="1891" spans="1:17" ht="15.6">
      <c r="A1891" s="506">
        <v>45895</v>
      </c>
      <c r="B1891" s="182" t="s">
        <v>2972</v>
      </c>
      <c r="C1891" s="182" t="s">
        <v>2088</v>
      </c>
      <c r="D1891" s="182" t="s">
        <v>120</v>
      </c>
      <c r="E1891" s="435">
        <v>10000</v>
      </c>
      <c r="F1891" s="325">
        <f t="shared" si="20"/>
        <v>17.827155035636483</v>
      </c>
      <c r="G1891" s="326">
        <v>560.94200000000001</v>
      </c>
      <c r="H1891" s="182" t="s">
        <v>213</v>
      </c>
      <c r="I1891" s="182" t="s">
        <v>2413</v>
      </c>
      <c r="J1891" s="182" t="s">
        <v>98</v>
      </c>
      <c r="K1891" s="129" t="s">
        <v>1902</v>
      </c>
      <c r="L1891" s="182" t="s">
        <v>155</v>
      </c>
      <c r="M1891" s="436"/>
      <c r="N1891" s="436"/>
      <c r="O1891" s="450"/>
      <c r="P1891" s="450"/>
      <c r="Q1891" s="450"/>
    </row>
    <row r="1892" spans="1:17" ht="15.6">
      <c r="A1892" s="505">
        <v>45895</v>
      </c>
      <c r="B1892" s="182" t="s">
        <v>2973</v>
      </c>
      <c r="C1892" s="182" t="s">
        <v>2088</v>
      </c>
      <c r="D1892" s="182" t="s">
        <v>120</v>
      </c>
      <c r="E1892" s="435">
        <v>10000</v>
      </c>
      <c r="F1892" s="325">
        <f t="shared" si="20"/>
        <v>17.827155035636483</v>
      </c>
      <c r="G1892" s="326">
        <v>560.94200000000001</v>
      </c>
      <c r="H1892" s="182" t="s">
        <v>213</v>
      </c>
      <c r="I1892" s="182" t="s">
        <v>2413</v>
      </c>
      <c r="J1892" s="182" t="s">
        <v>98</v>
      </c>
      <c r="K1892" s="129" t="s">
        <v>1902</v>
      </c>
      <c r="L1892" s="182" t="s">
        <v>155</v>
      </c>
      <c r="M1892" s="436"/>
      <c r="N1892" s="436"/>
      <c r="O1892" s="450"/>
      <c r="P1892" s="450"/>
      <c r="Q1892" s="450"/>
    </row>
    <row r="1893" spans="1:17" ht="15.6">
      <c r="A1893" s="506">
        <v>45895</v>
      </c>
      <c r="B1893" s="182" t="s">
        <v>2974</v>
      </c>
      <c r="C1893" s="182" t="s">
        <v>2088</v>
      </c>
      <c r="D1893" s="182" t="s">
        <v>120</v>
      </c>
      <c r="E1893" s="435">
        <v>6000</v>
      </c>
      <c r="F1893" s="325">
        <f t="shared" si="20"/>
        <v>10.696293021381889</v>
      </c>
      <c r="G1893" s="326">
        <v>560.94200000000001</v>
      </c>
      <c r="H1893" s="182" t="s">
        <v>213</v>
      </c>
      <c r="I1893" s="182" t="s">
        <v>2415</v>
      </c>
      <c r="J1893" s="182" t="s">
        <v>98</v>
      </c>
      <c r="K1893" s="129" t="s">
        <v>1902</v>
      </c>
      <c r="L1893" s="182" t="s">
        <v>155</v>
      </c>
      <c r="M1893" s="436"/>
      <c r="N1893" s="436"/>
      <c r="O1893" s="450"/>
      <c r="P1893" s="450"/>
      <c r="Q1893" s="450"/>
    </row>
    <row r="1894" spans="1:17" ht="15.6">
      <c r="A1894" s="505">
        <v>45895</v>
      </c>
      <c r="B1894" s="182" t="s">
        <v>2878</v>
      </c>
      <c r="C1894" s="182" t="s">
        <v>174</v>
      </c>
      <c r="D1894" s="182" t="s">
        <v>117</v>
      </c>
      <c r="E1894" s="182">
        <v>500</v>
      </c>
      <c r="F1894" s="325">
        <f t="shared" si="20"/>
        <v>0.89135775178182408</v>
      </c>
      <c r="G1894" s="326">
        <v>560.94200000000001</v>
      </c>
      <c r="H1894" s="182" t="s">
        <v>187</v>
      </c>
      <c r="I1894" s="182" t="s">
        <v>2880</v>
      </c>
      <c r="J1894" s="182" t="s">
        <v>98</v>
      </c>
      <c r="K1894" s="129" t="s">
        <v>1902</v>
      </c>
      <c r="L1894" s="182" t="s">
        <v>155</v>
      </c>
      <c r="M1894" s="436"/>
      <c r="N1894" s="436"/>
      <c r="O1894" s="450"/>
      <c r="P1894" s="450"/>
      <c r="Q1894" s="450"/>
    </row>
    <row r="1895" spans="1:17" ht="15.6">
      <c r="A1895" s="506">
        <v>45895</v>
      </c>
      <c r="B1895" s="182" t="s">
        <v>2416</v>
      </c>
      <c r="C1895" s="182" t="s">
        <v>182</v>
      </c>
      <c r="D1895" s="182" t="s">
        <v>118</v>
      </c>
      <c r="E1895" s="182">
        <v>3900</v>
      </c>
      <c r="F1895" s="325">
        <f t="shared" si="20"/>
        <v>6.9525904638982281</v>
      </c>
      <c r="G1895" s="326">
        <v>560.94200000000001</v>
      </c>
      <c r="H1895" s="182" t="s">
        <v>187</v>
      </c>
      <c r="I1895" s="182" t="s">
        <v>2417</v>
      </c>
      <c r="J1895" s="182" t="s">
        <v>98</v>
      </c>
      <c r="K1895" s="129" t="s">
        <v>1902</v>
      </c>
      <c r="L1895" s="182" t="s">
        <v>155</v>
      </c>
      <c r="M1895" s="436"/>
      <c r="N1895" s="436"/>
      <c r="O1895" s="450"/>
      <c r="P1895" s="450"/>
      <c r="Q1895" s="450"/>
    </row>
    <row r="1896" spans="1:17" ht="15.6">
      <c r="A1896" s="505">
        <v>45895</v>
      </c>
      <c r="B1896" s="182" t="s">
        <v>2877</v>
      </c>
      <c r="C1896" s="182" t="s">
        <v>174</v>
      </c>
      <c r="D1896" s="182" t="s">
        <v>117</v>
      </c>
      <c r="E1896" s="182">
        <v>500</v>
      </c>
      <c r="F1896" s="325">
        <f t="shared" si="20"/>
        <v>0.89135775178182408</v>
      </c>
      <c r="G1896" s="326">
        <v>560.94200000000001</v>
      </c>
      <c r="H1896" s="182" t="s">
        <v>187</v>
      </c>
      <c r="I1896" s="182" t="s">
        <v>2880</v>
      </c>
      <c r="J1896" s="182" t="s">
        <v>98</v>
      </c>
      <c r="K1896" s="129" t="s">
        <v>1902</v>
      </c>
      <c r="L1896" s="182" t="s">
        <v>155</v>
      </c>
      <c r="M1896" s="436"/>
      <c r="N1896" s="436"/>
      <c r="O1896" s="450"/>
      <c r="P1896" s="450"/>
      <c r="Q1896" s="450"/>
    </row>
    <row r="1897" spans="1:17" ht="15.6">
      <c r="A1897" s="535">
        <v>45896</v>
      </c>
      <c r="B1897" s="517" t="s">
        <v>2099</v>
      </c>
      <c r="C1897" s="308" t="s">
        <v>174</v>
      </c>
      <c r="D1897" s="308" t="s">
        <v>119</v>
      </c>
      <c r="E1897" s="517">
        <v>1000</v>
      </c>
      <c r="F1897" s="325">
        <f t="shared" si="20"/>
        <v>1.7827155035636482</v>
      </c>
      <c r="G1897" s="326">
        <v>560.94200000000001</v>
      </c>
      <c r="H1897" s="524" t="s">
        <v>153</v>
      </c>
      <c r="I1897" s="525" t="s">
        <v>2494</v>
      </c>
      <c r="J1897" s="182" t="s">
        <v>98</v>
      </c>
      <c r="K1897" s="129" t="s">
        <v>1902</v>
      </c>
      <c r="L1897" s="182" t="s">
        <v>155</v>
      </c>
      <c r="M1897" s="512"/>
      <c r="N1897" s="512"/>
      <c r="O1897" s="450"/>
      <c r="P1897" s="450"/>
      <c r="Q1897" s="450"/>
    </row>
    <row r="1898" spans="1:17" ht="15.6">
      <c r="A1898" s="535">
        <v>45896</v>
      </c>
      <c r="B1898" s="517" t="s">
        <v>2100</v>
      </c>
      <c r="C1898" s="308" t="s">
        <v>174</v>
      </c>
      <c r="D1898" s="308" t="s">
        <v>119</v>
      </c>
      <c r="E1898" s="517">
        <v>1000</v>
      </c>
      <c r="F1898" s="325">
        <f t="shared" si="20"/>
        <v>1.7827155035636482</v>
      </c>
      <c r="G1898" s="326">
        <v>560.94200000000001</v>
      </c>
      <c r="H1898" s="524" t="s">
        <v>153</v>
      </c>
      <c r="I1898" s="525" t="s">
        <v>2494</v>
      </c>
      <c r="J1898" s="182" t="s">
        <v>98</v>
      </c>
      <c r="K1898" s="129" t="s">
        <v>1902</v>
      </c>
      <c r="L1898" s="182" t="s">
        <v>155</v>
      </c>
      <c r="M1898" s="512"/>
      <c r="N1898" s="512"/>
      <c r="O1898" s="450"/>
      <c r="P1898" s="450"/>
      <c r="Q1898" s="450"/>
    </row>
    <row r="1899" spans="1:17" ht="15.6">
      <c r="A1899" s="536">
        <v>45896</v>
      </c>
      <c r="B1899" s="516" t="s">
        <v>2484</v>
      </c>
      <c r="C1899" s="516" t="s">
        <v>174</v>
      </c>
      <c r="D1899" s="516" t="s">
        <v>117</v>
      </c>
      <c r="E1899" s="526">
        <v>500</v>
      </c>
      <c r="F1899" s="325">
        <f t="shared" si="20"/>
        <v>0.89135775178182408</v>
      </c>
      <c r="G1899" s="326">
        <v>560.94200000000001</v>
      </c>
      <c r="H1899" s="177" t="s">
        <v>200</v>
      </c>
      <c r="I1899" s="516" t="s">
        <v>2489</v>
      </c>
      <c r="J1899" s="182" t="s">
        <v>98</v>
      </c>
      <c r="K1899" s="129" t="s">
        <v>1902</v>
      </c>
      <c r="L1899" s="182" t="s">
        <v>155</v>
      </c>
      <c r="M1899" s="512"/>
      <c r="N1899" s="512"/>
      <c r="O1899" s="450"/>
      <c r="P1899" s="450"/>
      <c r="Q1899" s="450"/>
    </row>
    <row r="1900" spans="1:17" ht="15.6">
      <c r="A1900" s="536">
        <v>45896</v>
      </c>
      <c r="B1900" s="516" t="s">
        <v>2468</v>
      </c>
      <c r="C1900" s="516" t="s">
        <v>174</v>
      </c>
      <c r="D1900" s="516" t="s">
        <v>117</v>
      </c>
      <c r="E1900" s="526">
        <v>500</v>
      </c>
      <c r="F1900" s="325">
        <f t="shared" ref="F1900:F1931" si="21">E1900/G1900</f>
        <v>0.89135775178182408</v>
      </c>
      <c r="G1900" s="326">
        <v>560.94200000000001</v>
      </c>
      <c r="H1900" s="177" t="s">
        <v>200</v>
      </c>
      <c r="I1900" s="516" t="s">
        <v>2489</v>
      </c>
      <c r="J1900" s="182" t="s">
        <v>98</v>
      </c>
      <c r="K1900" s="129" t="s">
        <v>1902</v>
      </c>
      <c r="L1900" s="182" t="s">
        <v>155</v>
      </c>
      <c r="M1900" s="512"/>
      <c r="N1900" s="512"/>
      <c r="O1900" s="450"/>
      <c r="P1900" s="450"/>
      <c r="Q1900" s="450"/>
    </row>
    <row r="1901" spans="1:17" ht="15.6">
      <c r="A1901" s="506">
        <v>45896</v>
      </c>
      <c r="B1901" s="182" t="s">
        <v>2425</v>
      </c>
      <c r="C1901" s="182" t="s">
        <v>304</v>
      </c>
      <c r="D1901" s="182" t="s">
        <v>118</v>
      </c>
      <c r="E1901" s="435">
        <v>20000</v>
      </c>
      <c r="F1901" s="325">
        <f t="shared" si="21"/>
        <v>35.654310071272967</v>
      </c>
      <c r="G1901" s="326">
        <v>560.94200000000001</v>
      </c>
      <c r="H1901" s="182" t="s">
        <v>583</v>
      </c>
      <c r="I1901" s="182" t="s">
        <v>2426</v>
      </c>
      <c r="J1901" s="182" t="s">
        <v>98</v>
      </c>
      <c r="K1901" s="129" t="s">
        <v>1902</v>
      </c>
      <c r="L1901" s="182" t="s">
        <v>155</v>
      </c>
      <c r="M1901" s="512"/>
      <c r="N1901" s="512"/>
      <c r="O1901" s="450"/>
      <c r="P1901" s="450"/>
      <c r="Q1901" s="450"/>
    </row>
    <row r="1902" spans="1:17" ht="15.6">
      <c r="A1902" s="506">
        <v>45896</v>
      </c>
      <c r="B1902" s="182" t="s">
        <v>2427</v>
      </c>
      <c r="C1902" s="182" t="s">
        <v>304</v>
      </c>
      <c r="D1902" s="182" t="s">
        <v>118</v>
      </c>
      <c r="E1902" s="435">
        <v>75625</v>
      </c>
      <c r="F1902" s="325">
        <f t="shared" si="21"/>
        <v>134.81785995700091</v>
      </c>
      <c r="G1902" s="326">
        <v>560.94200000000001</v>
      </c>
      <c r="H1902" s="182" t="s">
        <v>583</v>
      </c>
      <c r="I1902" s="182" t="s">
        <v>2428</v>
      </c>
      <c r="J1902" s="182" t="s">
        <v>98</v>
      </c>
      <c r="K1902" s="129" t="s">
        <v>1902</v>
      </c>
      <c r="L1902" s="182" t="s">
        <v>155</v>
      </c>
      <c r="M1902" s="512"/>
      <c r="N1902" s="512"/>
      <c r="O1902" s="450"/>
      <c r="P1902" s="450"/>
      <c r="Q1902" s="450"/>
    </row>
    <row r="1903" spans="1:17" ht="15.6">
      <c r="A1903" s="506">
        <v>45896</v>
      </c>
      <c r="B1903" s="182" t="s">
        <v>2433</v>
      </c>
      <c r="C1903" s="182" t="s">
        <v>182</v>
      </c>
      <c r="D1903" s="182" t="s">
        <v>118</v>
      </c>
      <c r="E1903" s="435">
        <v>10020</v>
      </c>
      <c r="F1903" s="325">
        <f t="shared" si="21"/>
        <v>17.862809345707756</v>
      </c>
      <c r="G1903" s="326">
        <v>560.94200000000001</v>
      </c>
      <c r="H1903" s="182" t="s">
        <v>583</v>
      </c>
      <c r="I1903" s="182" t="s">
        <v>2434</v>
      </c>
      <c r="J1903" s="182" t="s">
        <v>98</v>
      </c>
      <c r="K1903" s="129" t="s">
        <v>1902</v>
      </c>
      <c r="L1903" s="182" t="s">
        <v>155</v>
      </c>
      <c r="M1903" s="512"/>
      <c r="N1903" s="512"/>
      <c r="O1903" s="450"/>
      <c r="P1903" s="450"/>
      <c r="Q1903" s="450"/>
    </row>
    <row r="1904" spans="1:17" ht="15.6">
      <c r="A1904" s="505">
        <v>45896</v>
      </c>
      <c r="B1904" s="182" t="s">
        <v>3057</v>
      </c>
      <c r="C1904" s="182" t="s">
        <v>174</v>
      </c>
      <c r="D1904" s="182" t="s">
        <v>121</v>
      </c>
      <c r="E1904" s="182">
        <v>2000</v>
      </c>
      <c r="F1904" s="325">
        <f t="shared" si="21"/>
        <v>3.5654310071272963</v>
      </c>
      <c r="G1904" s="326">
        <v>560.94200000000001</v>
      </c>
      <c r="H1904" s="182" t="s">
        <v>317</v>
      </c>
      <c r="I1904" s="182" t="s">
        <v>2632</v>
      </c>
      <c r="J1904" s="182" t="s">
        <v>98</v>
      </c>
      <c r="K1904" s="129" t="s">
        <v>1902</v>
      </c>
      <c r="L1904" s="182" t="s">
        <v>155</v>
      </c>
      <c r="M1904" s="436"/>
      <c r="N1904" s="436"/>
      <c r="O1904" s="450"/>
      <c r="P1904" s="450"/>
      <c r="Q1904" s="450"/>
    </row>
    <row r="1905" spans="1:17" ht="15.6">
      <c r="A1905" s="505">
        <v>45896</v>
      </c>
      <c r="B1905" s="182" t="s">
        <v>2997</v>
      </c>
      <c r="C1905" s="182" t="s">
        <v>174</v>
      </c>
      <c r="D1905" s="182" t="s">
        <v>121</v>
      </c>
      <c r="E1905" s="182">
        <v>2000</v>
      </c>
      <c r="F1905" s="325">
        <f t="shared" si="21"/>
        <v>3.5654310071272963</v>
      </c>
      <c r="G1905" s="326">
        <v>560.94200000000001</v>
      </c>
      <c r="H1905" s="182" t="s">
        <v>317</v>
      </c>
      <c r="I1905" s="182" t="s">
        <v>2632</v>
      </c>
      <c r="J1905" s="182" t="s">
        <v>98</v>
      </c>
      <c r="K1905" s="129" t="s">
        <v>1902</v>
      </c>
      <c r="L1905" s="182" t="s">
        <v>155</v>
      </c>
      <c r="M1905" s="436"/>
      <c r="N1905" s="436"/>
      <c r="O1905" s="450"/>
      <c r="P1905" s="450"/>
      <c r="Q1905" s="450"/>
    </row>
    <row r="1906" spans="1:17" ht="15.6">
      <c r="A1906" s="505">
        <v>45896</v>
      </c>
      <c r="B1906" s="182" t="s">
        <v>3045</v>
      </c>
      <c r="C1906" s="182" t="s">
        <v>174</v>
      </c>
      <c r="D1906" s="182" t="s">
        <v>121</v>
      </c>
      <c r="E1906" s="182">
        <v>1000</v>
      </c>
      <c r="F1906" s="325">
        <f t="shared" si="21"/>
        <v>1.7827155035636482</v>
      </c>
      <c r="G1906" s="326">
        <v>560.94200000000001</v>
      </c>
      <c r="H1906" s="182" t="s">
        <v>317</v>
      </c>
      <c r="I1906" s="182" t="s">
        <v>2632</v>
      </c>
      <c r="J1906" s="182" t="s">
        <v>98</v>
      </c>
      <c r="K1906" s="129" t="s">
        <v>1902</v>
      </c>
      <c r="L1906" s="182" t="s">
        <v>155</v>
      </c>
      <c r="M1906" s="436"/>
      <c r="N1906" s="436"/>
      <c r="O1906" s="450"/>
      <c r="P1906" s="450"/>
      <c r="Q1906" s="450"/>
    </row>
    <row r="1907" spans="1:17" ht="15.6">
      <c r="A1907" s="505">
        <v>45896</v>
      </c>
      <c r="B1907" s="182" t="s">
        <v>3057</v>
      </c>
      <c r="C1907" s="182" t="s">
        <v>174</v>
      </c>
      <c r="D1907" s="182" t="s">
        <v>121</v>
      </c>
      <c r="E1907" s="182">
        <v>1500</v>
      </c>
      <c r="F1907" s="325">
        <f t="shared" si="21"/>
        <v>2.6740732553454722</v>
      </c>
      <c r="G1907" s="326">
        <v>560.94200000000001</v>
      </c>
      <c r="H1907" s="182" t="s">
        <v>317</v>
      </c>
      <c r="I1907" s="182" t="s">
        <v>2632</v>
      </c>
      <c r="J1907" s="182" t="s">
        <v>98</v>
      </c>
      <c r="K1907" s="129" t="s">
        <v>1902</v>
      </c>
      <c r="L1907" s="182" t="s">
        <v>155</v>
      </c>
      <c r="M1907" s="436"/>
      <c r="N1907" s="436"/>
      <c r="O1907" s="450"/>
      <c r="P1907" s="450"/>
      <c r="Q1907" s="450"/>
    </row>
    <row r="1908" spans="1:17" ht="15.6">
      <c r="A1908" s="505">
        <v>45896</v>
      </c>
      <c r="B1908" s="182" t="s">
        <v>2738</v>
      </c>
      <c r="C1908" s="182" t="s">
        <v>174</v>
      </c>
      <c r="D1908" s="182" t="s">
        <v>117</v>
      </c>
      <c r="E1908" s="435">
        <v>1000</v>
      </c>
      <c r="F1908" s="325">
        <f t="shared" si="21"/>
        <v>1.7827155035636482</v>
      </c>
      <c r="G1908" s="326">
        <v>560.94200000000001</v>
      </c>
      <c r="H1908" s="182" t="s">
        <v>193</v>
      </c>
      <c r="I1908" s="182" t="s">
        <v>2753</v>
      </c>
      <c r="J1908" s="182" t="s">
        <v>98</v>
      </c>
      <c r="K1908" s="129" t="s">
        <v>1902</v>
      </c>
      <c r="L1908" s="182" t="s">
        <v>155</v>
      </c>
      <c r="M1908" s="436"/>
      <c r="N1908" s="436"/>
      <c r="O1908" s="450"/>
      <c r="P1908" s="450"/>
      <c r="Q1908" s="450"/>
    </row>
    <row r="1909" spans="1:17" ht="15.6">
      <c r="A1909" s="505">
        <v>45896</v>
      </c>
      <c r="B1909" s="182" t="s">
        <v>2740</v>
      </c>
      <c r="C1909" s="182" t="s">
        <v>174</v>
      </c>
      <c r="D1909" s="182" t="s">
        <v>117</v>
      </c>
      <c r="E1909" s="435">
        <v>1000</v>
      </c>
      <c r="F1909" s="325">
        <f t="shared" si="21"/>
        <v>1.7827155035636482</v>
      </c>
      <c r="G1909" s="326">
        <v>560.94200000000001</v>
      </c>
      <c r="H1909" s="182" t="s">
        <v>193</v>
      </c>
      <c r="I1909" s="182" t="s">
        <v>2753</v>
      </c>
      <c r="J1909" s="182" t="s">
        <v>98</v>
      </c>
      <c r="K1909" s="129" t="s">
        <v>1902</v>
      </c>
      <c r="L1909" s="182" t="s">
        <v>155</v>
      </c>
      <c r="M1909" s="436"/>
      <c r="N1909" s="436"/>
      <c r="O1909" s="450"/>
      <c r="P1909" s="450"/>
      <c r="Q1909" s="450"/>
    </row>
    <row r="1910" spans="1:17" ht="15.6">
      <c r="A1910" s="506">
        <v>45896</v>
      </c>
      <c r="B1910" s="182" t="s">
        <v>2420</v>
      </c>
      <c r="C1910" s="182" t="s">
        <v>174</v>
      </c>
      <c r="D1910" s="182" t="s">
        <v>117</v>
      </c>
      <c r="E1910" s="435">
        <v>84000</v>
      </c>
      <c r="F1910" s="325">
        <f t="shared" si="21"/>
        <v>149.74810229934644</v>
      </c>
      <c r="G1910" s="326">
        <v>560.94200000000001</v>
      </c>
      <c r="H1910" s="182" t="s">
        <v>193</v>
      </c>
      <c r="I1910" s="182" t="s">
        <v>2421</v>
      </c>
      <c r="J1910" s="182" t="s">
        <v>98</v>
      </c>
      <c r="K1910" s="129" t="s">
        <v>1902</v>
      </c>
      <c r="L1910" s="182" t="s">
        <v>155</v>
      </c>
      <c r="M1910" s="436"/>
      <c r="N1910" s="436"/>
      <c r="O1910" s="450"/>
      <c r="P1910" s="450"/>
      <c r="Q1910" s="450"/>
    </row>
    <row r="1911" spans="1:17" ht="15.6">
      <c r="A1911" s="506">
        <v>45896</v>
      </c>
      <c r="B1911" s="182" t="s">
        <v>2422</v>
      </c>
      <c r="C1911" s="182" t="s">
        <v>177</v>
      </c>
      <c r="D1911" s="182" t="s">
        <v>117</v>
      </c>
      <c r="E1911" s="435">
        <v>100000</v>
      </c>
      <c r="F1911" s="325">
        <f t="shared" si="21"/>
        <v>178.27155035636483</v>
      </c>
      <c r="G1911" s="326">
        <v>560.94200000000001</v>
      </c>
      <c r="H1911" s="182" t="s">
        <v>193</v>
      </c>
      <c r="I1911" s="182" t="s">
        <v>2423</v>
      </c>
      <c r="J1911" s="182" t="s">
        <v>98</v>
      </c>
      <c r="K1911" s="129" t="s">
        <v>1902</v>
      </c>
      <c r="L1911" s="182" t="s">
        <v>155</v>
      </c>
      <c r="M1911" s="436"/>
      <c r="N1911" s="436"/>
      <c r="O1911" s="450"/>
      <c r="P1911" s="450"/>
      <c r="Q1911" s="450"/>
    </row>
    <row r="1912" spans="1:17" ht="15.6">
      <c r="A1912" s="505">
        <v>45896</v>
      </c>
      <c r="B1912" s="182" t="s">
        <v>2741</v>
      </c>
      <c r="C1912" s="182" t="s">
        <v>174</v>
      </c>
      <c r="D1912" s="182" t="s">
        <v>117</v>
      </c>
      <c r="E1912" s="435">
        <v>1000</v>
      </c>
      <c r="F1912" s="325">
        <f t="shared" si="21"/>
        <v>1.7827155035636482</v>
      </c>
      <c r="G1912" s="326">
        <v>560.94200000000001</v>
      </c>
      <c r="H1912" s="182" t="s">
        <v>193</v>
      </c>
      <c r="I1912" s="182" t="s">
        <v>2753</v>
      </c>
      <c r="J1912" s="182" t="s">
        <v>98</v>
      </c>
      <c r="K1912" s="129" t="s">
        <v>1902</v>
      </c>
      <c r="L1912" s="182" t="s">
        <v>155</v>
      </c>
      <c r="M1912" s="436"/>
      <c r="N1912" s="436"/>
      <c r="O1912" s="450"/>
      <c r="P1912" s="450"/>
      <c r="Q1912" s="450"/>
    </row>
    <row r="1913" spans="1:17" ht="15.6">
      <c r="A1913" s="505">
        <v>45896</v>
      </c>
      <c r="B1913" s="182" t="s">
        <v>2742</v>
      </c>
      <c r="C1913" s="182" t="s">
        <v>174</v>
      </c>
      <c r="D1913" s="182" t="s">
        <v>117</v>
      </c>
      <c r="E1913" s="435">
        <v>1000</v>
      </c>
      <c r="F1913" s="325">
        <f t="shared" si="21"/>
        <v>1.7827155035636482</v>
      </c>
      <c r="G1913" s="326">
        <v>560.94200000000001</v>
      </c>
      <c r="H1913" s="182" t="s">
        <v>193</v>
      </c>
      <c r="I1913" s="182" t="s">
        <v>2753</v>
      </c>
      <c r="J1913" s="182" t="s">
        <v>98</v>
      </c>
      <c r="K1913" s="129" t="s">
        <v>1902</v>
      </c>
      <c r="L1913" s="182" t="s">
        <v>155</v>
      </c>
      <c r="M1913" s="436"/>
      <c r="N1913" s="436"/>
      <c r="O1913" s="450"/>
      <c r="P1913" s="450"/>
      <c r="Q1913" s="450"/>
    </row>
    <row r="1914" spans="1:17" ht="15.6">
      <c r="A1914" s="503">
        <v>45896</v>
      </c>
      <c r="B1914" s="182" t="s">
        <v>2801</v>
      </c>
      <c r="C1914" s="517" t="s">
        <v>196</v>
      </c>
      <c r="D1914" s="517" t="s">
        <v>117</v>
      </c>
      <c r="E1914" s="496">
        <v>500</v>
      </c>
      <c r="F1914" s="325">
        <f t="shared" si="21"/>
        <v>0.89135775178182408</v>
      </c>
      <c r="G1914" s="326">
        <v>560.94200000000001</v>
      </c>
      <c r="H1914" s="517" t="s">
        <v>437</v>
      </c>
      <c r="I1914" s="182" t="s">
        <v>2817</v>
      </c>
      <c r="J1914" s="182" t="s">
        <v>98</v>
      </c>
      <c r="K1914" s="129" t="s">
        <v>1902</v>
      </c>
      <c r="L1914" s="182" t="s">
        <v>155</v>
      </c>
      <c r="M1914" s="436"/>
      <c r="N1914" s="436"/>
      <c r="O1914" s="450"/>
      <c r="P1914" s="450"/>
      <c r="Q1914" s="450"/>
    </row>
    <row r="1915" spans="1:17" ht="15.6">
      <c r="A1915" s="503">
        <v>45896</v>
      </c>
      <c r="B1915" s="182" t="s">
        <v>2797</v>
      </c>
      <c r="C1915" s="182" t="s">
        <v>313</v>
      </c>
      <c r="D1915" s="517" t="s">
        <v>117</v>
      </c>
      <c r="E1915" s="496">
        <v>1500</v>
      </c>
      <c r="F1915" s="325">
        <f t="shared" si="21"/>
        <v>2.6740732553454722</v>
      </c>
      <c r="G1915" s="326">
        <v>560.94200000000001</v>
      </c>
      <c r="H1915" s="517" t="s">
        <v>437</v>
      </c>
      <c r="I1915" s="182" t="s">
        <v>2828</v>
      </c>
      <c r="J1915" s="182" t="s">
        <v>98</v>
      </c>
      <c r="K1915" s="129" t="s">
        <v>1902</v>
      </c>
      <c r="L1915" s="182" t="s">
        <v>155</v>
      </c>
      <c r="M1915" s="436"/>
      <c r="N1915" s="436"/>
      <c r="O1915" s="450"/>
      <c r="P1915" s="450"/>
      <c r="Q1915" s="450"/>
    </row>
    <row r="1916" spans="1:17" ht="15.6">
      <c r="A1916" s="503">
        <v>45896</v>
      </c>
      <c r="B1916" s="182" t="s">
        <v>2795</v>
      </c>
      <c r="C1916" s="517" t="s">
        <v>196</v>
      </c>
      <c r="D1916" s="517" t="s">
        <v>117</v>
      </c>
      <c r="E1916" s="496">
        <v>500</v>
      </c>
      <c r="F1916" s="325">
        <f t="shared" si="21"/>
        <v>0.89135775178182408</v>
      </c>
      <c r="G1916" s="326">
        <v>560.94200000000001</v>
      </c>
      <c r="H1916" s="517" t="s">
        <v>437</v>
      </c>
      <c r="I1916" s="182" t="s">
        <v>2817</v>
      </c>
      <c r="J1916" s="182" t="s">
        <v>98</v>
      </c>
      <c r="K1916" s="129" t="s">
        <v>1902</v>
      </c>
      <c r="L1916" s="182" t="s">
        <v>155</v>
      </c>
      <c r="M1916" s="436"/>
      <c r="N1916" s="436"/>
      <c r="O1916" s="450"/>
      <c r="P1916" s="450"/>
      <c r="Q1916" s="450"/>
    </row>
    <row r="1917" spans="1:17" ht="15.6">
      <c r="A1917" s="503">
        <v>45896</v>
      </c>
      <c r="B1917" s="182" t="s">
        <v>2802</v>
      </c>
      <c r="C1917" s="517" t="s">
        <v>196</v>
      </c>
      <c r="D1917" s="517" t="s">
        <v>117</v>
      </c>
      <c r="E1917" s="496">
        <v>500</v>
      </c>
      <c r="F1917" s="325">
        <f t="shared" si="21"/>
        <v>0.89135775178182408</v>
      </c>
      <c r="G1917" s="326">
        <v>560.94200000000001</v>
      </c>
      <c r="H1917" s="517" t="s">
        <v>437</v>
      </c>
      <c r="I1917" s="182" t="s">
        <v>2817</v>
      </c>
      <c r="J1917" s="182" t="s">
        <v>98</v>
      </c>
      <c r="K1917" s="129" t="s">
        <v>1902</v>
      </c>
      <c r="L1917" s="182" t="s">
        <v>155</v>
      </c>
      <c r="M1917" s="436"/>
      <c r="N1917" s="436"/>
      <c r="O1917" s="450"/>
      <c r="P1917" s="450"/>
      <c r="Q1917" s="450"/>
    </row>
    <row r="1918" spans="1:17" ht="15.6">
      <c r="A1918" s="503">
        <v>45896</v>
      </c>
      <c r="B1918" s="182" t="s">
        <v>2803</v>
      </c>
      <c r="C1918" s="517" t="s">
        <v>196</v>
      </c>
      <c r="D1918" s="517" t="s">
        <v>117</v>
      </c>
      <c r="E1918" s="496">
        <v>500</v>
      </c>
      <c r="F1918" s="325">
        <f t="shared" si="21"/>
        <v>0.89135775178182408</v>
      </c>
      <c r="G1918" s="326">
        <v>560.94200000000001</v>
      </c>
      <c r="H1918" s="517" t="s">
        <v>437</v>
      </c>
      <c r="I1918" s="182" t="s">
        <v>2817</v>
      </c>
      <c r="J1918" s="182" t="s">
        <v>98</v>
      </c>
      <c r="K1918" s="129" t="s">
        <v>1902</v>
      </c>
      <c r="L1918" s="182" t="s">
        <v>155</v>
      </c>
      <c r="M1918" s="436"/>
      <c r="N1918" s="436"/>
      <c r="O1918" s="450"/>
      <c r="P1918" s="450"/>
      <c r="Q1918" s="450"/>
    </row>
    <row r="1919" spans="1:17" ht="15.6">
      <c r="A1919" s="503">
        <v>45896</v>
      </c>
      <c r="B1919" s="182" t="s">
        <v>2804</v>
      </c>
      <c r="C1919" s="517" t="s">
        <v>196</v>
      </c>
      <c r="D1919" s="517" t="s">
        <v>117</v>
      </c>
      <c r="E1919" s="496">
        <v>500</v>
      </c>
      <c r="F1919" s="325">
        <f t="shared" si="21"/>
        <v>0.89135775178182408</v>
      </c>
      <c r="G1919" s="326">
        <v>560.94200000000001</v>
      </c>
      <c r="H1919" s="517" t="s">
        <v>437</v>
      </c>
      <c r="I1919" s="182" t="s">
        <v>2817</v>
      </c>
      <c r="J1919" s="182" t="s">
        <v>98</v>
      </c>
      <c r="K1919" s="129" t="s">
        <v>1902</v>
      </c>
      <c r="L1919" s="182" t="s">
        <v>155</v>
      </c>
      <c r="M1919" s="436"/>
      <c r="N1919" s="436"/>
      <c r="O1919" s="450"/>
      <c r="P1919" s="450"/>
      <c r="Q1919" s="450"/>
    </row>
    <row r="1920" spans="1:17" ht="15.6">
      <c r="A1920" s="503">
        <v>45896</v>
      </c>
      <c r="B1920" s="182" t="s">
        <v>2805</v>
      </c>
      <c r="C1920" s="517" t="s">
        <v>196</v>
      </c>
      <c r="D1920" s="517" t="s">
        <v>117</v>
      </c>
      <c r="E1920" s="496">
        <v>500</v>
      </c>
      <c r="F1920" s="325">
        <f t="shared" si="21"/>
        <v>0.89135775178182408</v>
      </c>
      <c r="G1920" s="326">
        <v>560.94200000000001</v>
      </c>
      <c r="H1920" s="517" t="s">
        <v>437</v>
      </c>
      <c r="I1920" s="182" t="s">
        <v>2817</v>
      </c>
      <c r="J1920" s="182" t="s">
        <v>98</v>
      </c>
      <c r="K1920" s="129" t="s">
        <v>1902</v>
      </c>
      <c r="L1920" s="182" t="s">
        <v>155</v>
      </c>
      <c r="M1920" s="436"/>
      <c r="N1920" s="436"/>
      <c r="O1920" s="450"/>
      <c r="P1920" s="450"/>
      <c r="Q1920" s="450"/>
    </row>
    <row r="1921" spans="1:17" ht="15.6">
      <c r="A1921" s="503">
        <v>45896</v>
      </c>
      <c r="B1921" s="182" t="s">
        <v>2806</v>
      </c>
      <c r="C1921" s="517" t="s">
        <v>196</v>
      </c>
      <c r="D1921" s="517" t="s">
        <v>117</v>
      </c>
      <c r="E1921" s="496">
        <v>500</v>
      </c>
      <c r="F1921" s="325">
        <f t="shared" si="21"/>
        <v>0.89135775178182408</v>
      </c>
      <c r="G1921" s="326">
        <v>560.94200000000001</v>
      </c>
      <c r="H1921" s="517" t="s">
        <v>437</v>
      </c>
      <c r="I1921" s="182" t="s">
        <v>2817</v>
      </c>
      <c r="J1921" s="182" t="s">
        <v>98</v>
      </c>
      <c r="K1921" s="129" t="s">
        <v>1902</v>
      </c>
      <c r="L1921" s="182" t="s">
        <v>155</v>
      </c>
      <c r="M1921" s="436"/>
      <c r="N1921" s="436"/>
      <c r="O1921" s="450"/>
      <c r="P1921" s="450"/>
      <c r="Q1921" s="450"/>
    </row>
    <row r="1922" spans="1:17" ht="15.6">
      <c r="A1922" s="503">
        <v>45896</v>
      </c>
      <c r="B1922" s="182" t="s">
        <v>2794</v>
      </c>
      <c r="C1922" s="182" t="s">
        <v>313</v>
      </c>
      <c r="D1922" s="517" t="s">
        <v>117</v>
      </c>
      <c r="E1922" s="496">
        <v>1500</v>
      </c>
      <c r="F1922" s="325">
        <f t="shared" si="21"/>
        <v>2.6740732553454722</v>
      </c>
      <c r="G1922" s="326">
        <v>560.94200000000001</v>
      </c>
      <c r="H1922" s="517" t="s">
        <v>437</v>
      </c>
      <c r="I1922" s="182" t="s">
        <v>2828</v>
      </c>
      <c r="J1922" s="182" t="s">
        <v>98</v>
      </c>
      <c r="K1922" s="129" t="s">
        <v>1902</v>
      </c>
      <c r="L1922" s="182" t="s">
        <v>155</v>
      </c>
      <c r="M1922" s="436"/>
      <c r="N1922" s="436"/>
      <c r="O1922" s="450"/>
      <c r="P1922" s="450"/>
      <c r="Q1922" s="450"/>
    </row>
    <row r="1923" spans="1:17" ht="15.6">
      <c r="A1923" s="503">
        <v>45896</v>
      </c>
      <c r="B1923" s="182" t="s">
        <v>2795</v>
      </c>
      <c r="C1923" s="517" t="s">
        <v>196</v>
      </c>
      <c r="D1923" s="517" t="s">
        <v>117</v>
      </c>
      <c r="E1923" s="496">
        <v>500</v>
      </c>
      <c r="F1923" s="325">
        <f t="shared" si="21"/>
        <v>0.89135775178182408</v>
      </c>
      <c r="G1923" s="326">
        <v>560.94200000000001</v>
      </c>
      <c r="H1923" s="517" t="s">
        <v>437</v>
      </c>
      <c r="I1923" s="182" t="s">
        <v>2817</v>
      </c>
      <c r="J1923" s="182" t="s">
        <v>98</v>
      </c>
      <c r="K1923" s="129" t="s">
        <v>1902</v>
      </c>
      <c r="L1923" s="182" t="s">
        <v>155</v>
      </c>
      <c r="M1923" s="436"/>
      <c r="N1923" s="436"/>
      <c r="O1923" s="450"/>
      <c r="P1923" s="450"/>
      <c r="Q1923" s="450"/>
    </row>
    <row r="1924" spans="1:17" ht="15.6">
      <c r="A1924" s="505">
        <v>45896</v>
      </c>
      <c r="B1924" s="182" t="s">
        <v>2843</v>
      </c>
      <c r="C1924" s="182" t="s">
        <v>174</v>
      </c>
      <c r="D1924" s="182" t="s">
        <v>120</v>
      </c>
      <c r="E1924" s="496">
        <v>500</v>
      </c>
      <c r="F1924" s="325">
        <f t="shared" si="21"/>
        <v>0.89135775178182408</v>
      </c>
      <c r="G1924" s="326">
        <v>560.94200000000001</v>
      </c>
      <c r="H1924" s="182" t="s">
        <v>213</v>
      </c>
      <c r="I1924" s="182" t="s">
        <v>2853</v>
      </c>
      <c r="J1924" s="182" t="s">
        <v>98</v>
      </c>
      <c r="K1924" s="129" t="s">
        <v>1902</v>
      </c>
      <c r="L1924" s="182" t="s">
        <v>155</v>
      </c>
      <c r="M1924" s="436"/>
      <c r="N1924" s="436"/>
      <c r="O1924" s="450"/>
      <c r="P1924" s="450"/>
      <c r="Q1924" s="450"/>
    </row>
    <row r="1925" spans="1:17" ht="15.6">
      <c r="A1925" s="505">
        <v>45896</v>
      </c>
      <c r="B1925" s="182" t="s">
        <v>2846</v>
      </c>
      <c r="C1925" s="182" t="s">
        <v>174</v>
      </c>
      <c r="D1925" s="182" t="s">
        <v>120</v>
      </c>
      <c r="E1925" s="496">
        <v>500</v>
      </c>
      <c r="F1925" s="325">
        <f t="shared" si="21"/>
        <v>0.89135775178182408</v>
      </c>
      <c r="G1925" s="326">
        <v>560.94200000000001</v>
      </c>
      <c r="H1925" s="182" t="s">
        <v>213</v>
      </c>
      <c r="I1925" s="182" t="s">
        <v>2853</v>
      </c>
      <c r="J1925" s="182" t="s">
        <v>98</v>
      </c>
      <c r="K1925" s="129" t="s">
        <v>1902</v>
      </c>
      <c r="L1925" s="182" t="s">
        <v>155</v>
      </c>
      <c r="M1925" s="436"/>
      <c r="N1925" s="436"/>
      <c r="O1925" s="450"/>
      <c r="P1925" s="450"/>
      <c r="Q1925" s="450"/>
    </row>
    <row r="1926" spans="1:17" ht="15.6">
      <c r="A1926" s="505">
        <v>45897</v>
      </c>
      <c r="B1926" s="182" t="s">
        <v>2739</v>
      </c>
      <c r="C1926" s="182" t="s">
        <v>174</v>
      </c>
      <c r="D1926" s="182" t="s">
        <v>117</v>
      </c>
      <c r="E1926" s="435">
        <v>37000</v>
      </c>
      <c r="F1926" s="325">
        <f t="shared" si="21"/>
        <v>65.960473631854981</v>
      </c>
      <c r="G1926" s="326">
        <v>560.94200000000001</v>
      </c>
      <c r="H1926" s="182" t="s">
        <v>193</v>
      </c>
      <c r="I1926" s="182" t="s">
        <v>2764</v>
      </c>
      <c r="J1926" s="182" t="s">
        <v>98</v>
      </c>
      <c r="K1926" s="129" t="s">
        <v>1902</v>
      </c>
      <c r="L1926" s="182" t="s">
        <v>155</v>
      </c>
      <c r="M1926" s="436"/>
      <c r="N1926" s="436"/>
      <c r="O1926" s="450"/>
      <c r="P1926" s="450"/>
      <c r="Q1926" s="450"/>
    </row>
    <row r="1927" spans="1:17" ht="15.6">
      <c r="A1927" s="535">
        <v>45897</v>
      </c>
      <c r="B1927" s="517" t="s">
        <v>2099</v>
      </c>
      <c r="C1927" s="308" t="s">
        <v>174</v>
      </c>
      <c r="D1927" s="308" t="s">
        <v>119</v>
      </c>
      <c r="E1927" s="517">
        <v>1000</v>
      </c>
      <c r="F1927" s="325">
        <f t="shared" si="21"/>
        <v>1.7827155035636482</v>
      </c>
      <c r="G1927" s="326">
        <v>560.94200000000001</v>
      </c>
      <c r="H1927" s="524" t="s">
        <v>153</v>
      </c>
      <c r="I1927" s="525" t="s">
        <v>2494</v>
      </c>
      <c r="J1927" s="182" t="s">
        <v>98</v>
      </c>
      <c r="K1927" s="129" t="s">
        <v>1902</v>
      </c>
      <c r="L1927" s="182" t="s">
        <v>155</v>
      </c>
      <c r="M1927" s="512"/>
      <c r="N1927" s="512"/>
      <c r="O1927" s="450"/>
      <c r="P1927" s="450"/>
      <c r="Q1927" s="450"/>
    </row>
    <row r="1928" spans="1:17" ht="15.6">
      <c r="A1928" s="535">
        <v>45897</v>
      </c>
      <c r="B1928" s="517" t="s">
        <v>2108</v>
      </c>
      <c r="C1928" s="308" t="s">
        <v>174</v>
      </c>
      <c r="D1928" s="308" t="s">
        <v>119</v>
      </c>
      <c r="E1928" s="517">
        <v>1000</v>
      </c>
      <c r="F1928" s="325">
        <f t="shared" si="21"/>
        <v>1.7827155035636482</v>
      </c>
      <c r="G1928" s="326">
        <v>560.94200000000001</v>
      </c>
      <c r="H1928" s="524" t="s">
        <v>153</v>
      </c>
      <c r="I1928" s="525" t="s">
        <v>2494</v>
      </c>
      <c r="J1928" s="182" t="s">
        <v>98</v>
      </c>
      <c r="K1928" s="129" t="s">
        <v>1902</v>
      </c>
      <c r="L1928" s="182" t="s">
        <v>155</v>
      </c>
      <c r="M1928" s="512"/>
      <c r="N1928" s="512"/>
      <c r="O1928" s="450"/>
      <c r="P1928" s="450"/>
      <c r="Q1928" s="450"/>
    </row>
    <row r="1929" spans="1:17" ht="15.6">
      <c r="A1929" s="535">
        <v>45897</v>
      </c>
      <c r="B1929" s="517" t="s">
        <v>2109</v>
      </c>
      <c r="C1929" s="308" t="s">
        <v>174</v>
      </c>
      <c r="D1929" s="308" t="s">
        <v>119</v>
      </c>
      <c r="E1929" s="517">
        <v>1000</v>
      </c>
      <c r="F1929" s="325">
        <f t="shared" si="21"/>
        <v>1.7827155035636482</v>
      </c>
      <c r="G1929" s="326">
        <v>560.94200000000001</v>
      </c>
      <c r="H1929" s="524" t="s">
        <v>153</v>
      </c>
      <c r="I1929" s="525" t="s">
        <v>2494</v>
      </c>
      <c r="J1929" s="182" t="s">
        <v>98</v>
      </c>
      <c r="K1929" s="129" t="s">
        <v>1902</v>
      </c>
      <c r="L1929" s="182" t="s">
        <v>155</v>
      </c>
      <c r="M1929" s="512"/>
      <c r="N1929" s="512"/>
      <c r="O1929" s="450"/>
      <c r="P1929" s="450"/>
      <c r="Q1929" s="450"/>
    </row>
    <row r="1930" spans="1:17" ht="15.6">
      <c r="A1930" s="535">
        <v>45897</v>
      </c>
      <c r="B1930" s="517" t="s">
        <v>2100</v>
      </c>
      <c r="C1930" s="308" t="s">
        <v>174</v>
      </c>
      <c r="D1930" s="308" t="s">
        <v>119</v>
      </c>
      <c r="E1930" s="517">
        <v>1000</v>
      </c>
      <c r="F1930" s="325">
        <f t="shared" si="21"/>
        <v>1.7827155035636482</v>
      </c>
      <c r="G1930" s="326">
        <v>560.94200000000001</v>
      </c>
      <c r="H1930" s="524" t="s">
        <v>153</v>
      </c>
      <c r="I1930" s="525" t="s">
        <v>2494</v>
      </c>
      <c r="J1930" s="182" t="s">
        <v>98</v>
      </c>
      <c r="K1930" s="129" t="s">
        <v>1902</v>
      </c>
      <c r="L1930" s="182" t="s">
        <v>155</v>
      </c>
      <c r="M1930" s="512"/>
      <c r="N1930" s="512"/>
      <c r="O1930" s="450"/>
      <c r="P1930" s="450"/>
      <c r="Q1930" s="450"/>
    </row>
    <row r="1931" spans="1:17" ht="15.6">
      <c r="A1931" s="536">
        <v>45897</v>
      </c>
      <c r="B1931" s="516" t="s">
        <v>2484</v>
      </c>
      <c r="C1931" s="516" t="s">
        <v>174</v>
      </c>
      <c r="D1931" s="516" t="s">
        <v>117</v>
      </c>
      <c r="E1931" s="526">
        <v>500</v>
      </c>
      <c r="F1931" s="325">
        <f t="shared" si="21"/>
        <v>0.89135775178182408</v>
      </c>
      <c r="G1931" s="326">
        <v>560.94200000000001</v>
      </c>
      <c r="H1931" s="177" t="s">
        <v>200</v>
      </c>
      <c r="I1931" s="516" t="s">
        <v>2489</v>
      </c>
      <c r="J1931" s="182" t="s">
        <v>98</v>
      </c>
      <c r="K1931" s="129" t="s">
        <v>1902</v>
      </c>
      <c r="L1931" s="182" t="s">
        <v>155</v>
      </c>
      <c r="M1931" s="512"/>
      <c r="N1931" s="512"/>
      <c r="O1931" s="450"/>
      <c r="P1931" s="450"/>
      <c r="Q1931" s="450"/>
    </row>
    <row r="1932" spans="1:17" ht="15.6">
      <c r="A1932" s="536">
        <v>45897</v>
      </c>
      <c r="B1932" s="516" t="s">
        <v>2483</v>
      </c>
      <c r="C1932" s="516" t="s">
        <v>174</v>
      </c>
      <c r="D1932" s="516" t="s">
        <v>117</v>
      </c>
      <c r="E1932" s="526">
        <v>500</v>
      </c>
      <c r="F1932" s="325">
        <f t="shared" ref="F1932:F1963" si="22">E1932/G1932</f>
        <v>0.89135775178182408</v>
      </c>
      <c r="G1932" s="326">
        <v>560.94200000000001</v>
      </c>
      <c r="H1932" s="177" t="s">
        <v>200</v>
      </c>
      <c r="I1932" s="516" t="s">
        <v>2489</v>
      </c>
      <c r="J1932" s="182" t="s">
        <v>98</v>
      </c>
      <c r="K1932" s="129" t="s">
        <v>1902</v>
      </c>
      <c r="L1932" s="182" t="s">
        <v>155</v>
      </c>
      <c r="M1932" s="512"/>
      <c r="N1932" s="512"/>
      <c r="O1932" s="450"/>
      <c r="P1932" s="450"/>
      <c r="Q1932" s="450"/>
    </row>
    <row r="1933" spans="1:17" ht="15.6">
      <c r="A1933" s="467">
        <v>45897</v>
      </c>
      <c r="B1933" s="177" t="s">
        <v>3042</v>
      </c>
      <c r="C1933" s="177" t="s">
        <v>174</v>
      </c>
      <c r="D1933" s="177" t="s">
        <v>121</v>
      </c>
      <c r="E1933" s="177">
        <v>500</v>
      </c>
      <c r="F1933" s="325">
        <f t="shared" si="22"/>
        <v>0.89135775178182408</v>
      </c>
      <c r="G1933" s="326">
        <v>560.94200000000001</v>
      </c>
      <c r="H1933" s="177" t="s">
        <v>184</v>
      </c>
      <c r="I1933" s="177" t="s">
        <v>2558</v>
      </c>
      <c r="J1933" s="182" t="s">
        <v>98</v>
      </c>
      <c r="K1933" s="129" t="s">
        <v>1902</v>
      </c>
      <c r="L1933" s="182" t="s">
        <v>155</v>
      </c>
      <c r="M1933" s="436"/>
      <c r="N1933" s="436"/>
      <c r="O1933" s="450"/>
      <c r="P1933" s="450"/>
      <c r="Q1933" s="450"/>
    </row>
    <row r="1934" spans="1:17" ht="15.6">
      <c r="A1934" s="467">
        <v>45897</v>
      </c>
      <c r="B1934" s="177" t="s">
        <v>3042</v>
      </c>
      <c r="C1934" s="177" t="s">
        <v>174</v>
      </c>
      <c r="D1934" s="177" t="s">
        <v>121</v>
      </c>
      <c r="E1934" s="177">
        <v>500</v>
      </c>
      <c r="F1934" s="325">
        <f t="shared" si="22"/>
        <v>0.89135775178182408</v>
      </c>
      <c r="G1934" s="326">
        <v>560.94200000000001</v>
      </c>
      <c r="H1934" s="177" t="s">
        <v>184</v>
      </c>
      <c r="I1934" s="177" t="s">
        <v>2558</v>
      </c>
      <c r="J1934" s="182" t="s">
        <v>98</v>
      </c>
      <c r="K1934" s="129" t="s">
        <v>1902</v>
      </c>
      <c r="L1934" s="182" t="s">
        <v>155</v>
      </c>
      <c r="M1934" s="436"/>
      <c r="N1934" s="436"/>
      <c r="O1934" s="450"/>
      <c r="P1934" s="450"/>
      <c r="Q1934" s="450"/>
    </row>
    <row r="1935" spans="1:17" ht="15.6">
      <c r="A1935" s="467">
        <v>45897</v>
      </c>
      <c r="B1935" s="177" t="s">
        <v>3037</v>
      </c>
      <c r="C1935" s="177" t="s">
        <v>174</v>
      </c>
      <c r="D1935" s="177" t="s">
        <v>121</v>
      </c>
      <c r="E1935" s="177">
        <v>500</v>
      </c>
      <c r="F1935" s="325">
        <f t="shared" si="22"/>
        <v>0.89135775178182408</v>
      </c>
      <c r="G1935" s="326">
        <v>560.94200000000001</v>
      </c>
      <c r="H1935" s="177" t="s">
        <v>184</v>
      </c>
      <c r="I1935" s="177" t="s">
        <v>2558</v>
      </c>
      <c r="J1935" s="182" t="s">
        <v>98</v>
      </c>
      <c r="K1935" s="129" t="s">
        <v>1902</v>
      </c>
      <c r="L1935" s="182" t="s">
        <v>155</v>
      </c>
      <c r="M1935" s="436"/>
      <c r="N1935" s="436"/>
      <c r="O1935" s="450"/>
      <c r="P1935" s="450"/>
      <c r="Q1935" s="450"/>
    </row>
    <row r="1936" spans="1:17" ht="15.6">
      <c r="A1936" s="505">
        <v>45897</v>
      </c>
      <c r="B1936" s="182" t="s">
        <v>3060</v>
      </c>
      <c r="C1936" s="182" t="s">
        <v>174</v>
      </c>
      <c r="D1936" s="182" t="s">
        <v>121</v>
      </c>
      <c r="E1936" s="496">
        <v>1000</v>
      </c>
      <c r="F1936" s="325">
        <f t="shared" si="22"/>
        <v>1.7827155035636482</v>
      </c>
      <c r="G1936" s="326">
        <v>560.94200000000001</v>
      </c>
      <c r="H1936" s="182" t="s">
        <v>323</v>
      </c>
      <c r="I1936" s="182" t="s">
        <v>2671</v>
      </c>
      <c r="J1936" s="182" t="s">
        <v>98</v>
      </c>
      <c r="K1936" s="129" t="s">
        <v>1902</v>
      </c>
      <c r="L1936" s="182" t="s">
        <v>155</v>
      </c>
      <c r="M1936" s="436"/>
      <c r="N1936" s="436"/>
      <c r="O1936" s="450"/>
      <c r="P1936" s="450"/>
      <c r="Q1936" s="450"/>
    </row>
    <row r="1937" spans="1:17" ht="15.6">
      <c r="A1937" s="505">
        <v>45897</v>
      </c>
      <c r="B1937" s="182" t="s">
        <v>3060</v>
      </c>
      <c r="C1937" s="182" t="s">
        <v>174</v>
      </c>
      <c r="D1937" s="182" t="s">
        <v>121</v>
      </c>
      <c r="E1937" s="496">
        <v>1000</v>
      </c>
      <c r="F1937" s="325">
        <f t="shared" si="22"/>
        <v>1.7827155035636482</v>
      </c>
      <c r="G1937" s="326">
        <v>560.94200000000001</v>
      </c>
      <c r="H1937" s="182" t="s">
        <v>323</v>
      </c>
      <c r="I1937" s="182" t="s">
        <v>2671</v>
      </c>
      <c r="J1937" s="182" t="s">
        <v>98</v>
      </c>
      <c r="K1937" s="129" t="s">
        <v>1902</v>
      </c>
      <c r="L1937" s="182" t="s">
        <v>155</v>
      </c>
      <c r="M1937" s="436"/>
      <c r="N1937" s="436"/>
      <c r="O1937" s="450"/>
      <c r="P1937" s="450"/>
      <c r="Q1937" s="450"/>
    </row>
    <row r="1938" spans="1:17" ht="15.6">
      <c r="A1938" s="505">
        <v>45897</v>
      </c>
      <c r="B1938" s="182" t="s">
        <v>3159</v>
      </c>
      <c r="C1938" s="182" t="s">
        <v>174</v>
      </c>
      <c r="D1938" s="182" t="s">
        <v>121</v>
      </c>
      <c r="E1938" s="496">
        <v>1000</v>
      </c>
      <c r="F1938" s="325">
        <f t="shared" si="22"/>
        <v>1.7827155035636482</v>
      </c>
      <c r="G1938" s="326">
        <v>560.94200000000001</v>
      </c>
      <c r="H1938" s="182" t="s">
        <v>323</v>
      </c>
      <c r="I1938" s="182" t="s">
        <v>2671</v>
      </c>
      <c r="J1938" s="182" t="s">
        <v>98</v>
      </c>
      <c r="K1938" s="129" t="s">
        <v>1902</v>
      </c>
      <c r="L1938" s="182" t="s">
        <v>155</v>
      </c>
      <c r="M1938" s="436"/>
      <c r="N1938" s="436"/>
      <c r="O1938" s="450"/>
      <c r="P1938" s="450"/>
      <c r="Q1938" s="450"/>
    </row>
    <row r="1939" spans="1:17" ht="15.6">
      <c r="A1939" s="505">
        <v>45897</v>
      </c>
      <c r="B1939" s="182" t="s">
        <v>3052</v>
      </c>
      <c r="C1939" s="182" t="s">
        <v>174</v>
      </c>
      <c r="D1939" s="182" t="s">
        <v>121</v>
      </c>
      <c r="E1939" s="496">
        <v>1000</v>
      </c>
      <c r="F1939" s="325">
        <f t="shared" si="22"/>
        <v>1.7827155035636482</v>
      </c>
      <c r="G1939" s="326">
        <v>560.94200000000001</v>
      </c>
      <c r="H1939" s="182" t="s">
        <v>323</v>
      </c>
      <c r="I1939" s="182" t="s">
        <v>2671</v>
      </c>
      <c r="J1939" s="182" t="s">
        <v>98</v>
      </c>
      <c r="K1939" s="129" t="s">
        <v>1902</v>
      </c>
      <c r="L1939" s="182" t="s">
        <v>155</v>
      </c>
      <c r="M1939" s="436"/>
      <c r="N1939" s="436"/>
      <c r="O1939" s="450"/>
      <c r="P1939" s="450"/>
      <c r="Q1939" s="450"/>
    </row>
    <row r="1940" spans="1:17" ht="15.6">
      <c r="A1940" s="505">
        <v>45897</v>
      </c>
      <c r="B1940" s="182" t="s">
        <v>2743</v>
      </c>
      <c r="C1940" s="182" t="s">
        <v>174</v>
      </c>
      <c r="D1940" s="182" t="s">
        <v>117</v>
      </c>
      <c r="E1940" s="435">
        <v>1000</v>
      </c>
      <c r="F1940" s="325">
        <f t="shared" si="22"/>
        <v>1.7827155035636482</v>
      </c>
      <c r="G1940" s="326">
        <v>560.94200000000001</v>
      </c>
      <c r="H1940" s="182" t="s">
        <v>193</v>
      </c>
      <c r="I1940" s="182" t="s">
        <v>2753</v>
      </c>
      <c r="J1940" s="182" t="s">
        <v>98</v>
      </c>
      <c r="K1940" s="129" t="s">
        <v>1902</v>
      </c>
      <c r="L1940" s="182" t="s">
        <v>155</v>
      </c>
      <c r="M1940" s="436"/>
      <c r="N1940" s="436"/>
      <c r="O1940" s="450"/>
      <c r="P1940" s="450"/>
      <c r="Q1940" s="450"/>
    </row>
    <row r="1941" spans="1:17" ht="15.6">
      <c r="A1941" s="505">
        <v>45897</v>
      </c>
      <c r="B1941" s="182" t="s">
        <v>2744</v>
      </c>
      <c r="C1941" s="182" t="s">
        <v>174</v>
      </c>
      <c r="D1941" s="182" t="s">
        <v>117</v>
      </c>
      <c r="E1941" s="435">
        <v>500</v>
      </c>
      <c r="F1941" s="325">
        <f t="shared" si="22"/>
        <v>0.89135775178182408</v>
      </c>
      <c r="G1941" s="326">
        <v>560.94200000000001</v>
      </c>
      <c r="H1941" s="182" t="s">
        <v>193</v>
      </c>
      <c r="I1941" s="182" t="s">
        <v>2753</v>
      </c>
      <c r="J1941" s="182" t="s">
        <v>98</v>
      </c>
      <c r="K1941" s="129" t="s">
        <v>1902</v>
      </c>
      <c r="L1941" s="182" t="s">
        <v>155</v>
      </c>
      <c r="M1941" s="436"/>
      <c r="N1941" s="436"/>
      <c r="O1941" s="450"/>
      <c r="P1941" s="450"/>
      <c r="Q1941" s="450"/>
    </row>
    <row r="1942" spans="1:17" ht="15.6">
      <c r="A1942" s="505">
        <v>45897</v>
      </c>
      <c r="B1942" s="182" t="s">
        <v>2745</v>
      </c>
      <c r="C1942" s="182" t="s">
        <v>177</v>
      </c>
      <c r="D1942" s="182" t="s">
        <v>117</v>
      </c>
      <c r="E1942" s="435">
        <v>40000</v>
      </c>
      <c r="F1942" s="325">
        <f t="shared" si="22"/>
        <v>71.308620142545934</v>
      </c>
      <c r="G1942" s="326">
        <v>560.94200000000001</v>
      </c>
      <c r="H1942" s="182" t="s">
        <v>193</v>
      </c>
      <c r="I1942" s="182" t="s">
        <v>2765</v>
      </c>
      <c r="J1942" s="182" t="s">
        <v>98</v>
      </c>
      <c r="K1942" s="129" t="s">
        <v>1902</v>
      </c>
      <c r="L1942" s="182" t="s">
        <v>155</v>
      </c>
      <c r="M1942" s="436"/>
      <c r="N1942" s="436"/>
      <c r="O1942" s="450"/>
      <c r="P1942" s="450"/>
      <c r="Q1942" s="450"/>
    </row>
    <row r="1943" spans="1:17" ht="15.6">
      <c r="A1943" s="503">
        <v>45897</v>
      </c>
      <c r="B1943" s="182" t="s">
        <v>2807</v>
      </c>
      <c r="C1943" s="517" t="s">
        <v>196</v>
      </c>
      <c r="D1943" s="517" t="s">
        <v>117</v>
      </c>
      <c r="E1943" s="496">
        <v>500</v>
      </c>
      <c r="F1943" s="325">
        <f t="shared" si="22"/>
        <v>0.89135775178182408</v>
      </c>
      <c r="G1943" s="326">
        <v>560.94200000000001</v>
      </c>
      <c r="H1943" s="517" t="s">
        <v>437</v>
      </c>
      <c r="I1943" s="182" t="s">
        <v>2817</v>
      </c>
      <c r="J1943" s="182" t="s">
        <v>98</v>
      </c>
      <c r="K1943" s="129" t="s">
        <v>1902</v>
      </c>
      <c r="L1943" s="182" t="s">
        <v>155</v>
      </c>
      <c r="M1943" s="436"/>
      <c r="N1943" s="436"/>
      <c r="O1943" s="450"/>
      <c r="P1943" s="450"/>
      <c r="Q1943" s="450"/>
    </row>
    <row r="1944" spans="1:17" ht="15.6">
      <c r="A1944" s="503">
        <v>45897</v>
      </c>
      <c r="B1944" s="182" t="s">
        <v>2797</v>
      </c>
      <c r="C1944" s="182" t="s">
        <v>313</v>
      </c>
      <c r="D1944" s="517" t="s">
        <v>117</v>
      </c>
      <c r="E1944" s="496">
        <v>1500</v>
      </c>
      <c r="F1944" s="325">
        <f t="shared" si="22"/>
        <v>2.6740732553454722</v>
      </c>
      <c r="G1944" s="326">
        <v>560.94200000000001</v>
      </c>
      <c r="H1944" s="517" t="s">
        <v>437</v>
      </c>
      <c r="I1944" s="182" t="s">
        <v>2828</v>
      </c>
      <c r="J1944" s="182" t="s">
        <v>98</v>
      </c>
      <c r="K1944" s="129" t="s">
        <v>1902</v>
      </c>
      <c r="L1944" s="182" t="s">
        <v>155</v>
      </c>
      <c r="M1944" s="436"/>
      <c r="N1944" s="436"/>
      <c r="O1944" s="450"/>
      <c r="P1944" s="450"/>
      <c r="Q1944" s="450"/>
    </row>
    <row r="1945" spans="1:17" ht="15.6">
      <c r="A1945" s="503">
        <v>45897</v>
      </c>
      <c r="B1945" s="182" t="s">
        <v>2795</v>
      </c>
      <c r="C1945" s="517" t="s">
        <v>196</v>
      </c>
      <c r="D1945" s="517" t="s">
        <v>117</v>
      </c>
      <c r="E1945" s="496">
        <v>500</v>
      </c>
      <c r="F1945" s="325">
        <f t="shared" si="22"/>
        <v>0.89135775178182408</v>
      </c>
      <c r="G1945" s="326">
        <v>560.94200000000001</v>
      </c>
      <c r="H1945" s="517" t="s">
        <v>437</v>
      </c>
      <c r="I1945" s="182" t="s">
        <v>2817</v>
      </c>
      <c r="J1945" s="182" t="s">
        <v>98</v>
      </c>
      <c r="K1945" s="129" t="s">
        <v>1902</v>
      </c>
      <c r="L1945" s="182" t="s">
        <v>155</v>
      </c>
      <c r="M1945" s="436"/>
      <c r="N1945" s="436"/>
      <c r="O1945" s="450"/>
      <c r="P1945" s="450"/>
      <c r="Q1945" s="450"/>
    </row>
    <row r="1946" spans="1:17" ht="15.6">
      <c r="A1946" s="503">
        <v>45897</v>
      </c>
      <c r="B1946" s="182" t="s">
        <v>2802</v>
      </c>
      <c r="C1946" s="517" t="s">
        <v>196</v>
      </c>
      <c r="D1946" s="517" t="s">
        <v>117</v>
      </c>
      <c r="E1946" s="496">
        <v>500</v>
      </c>
      <c r="F1946" s="325">
        <f t="shared" si="22"/>
        <v>0.89135775178182408</v>
      </c>
      <c r="G1946" s="326">
        <v>560.94200000000001</v>
      </c>
      <c r="H1946" s="517" t="s">
        <v>437</v>
      </c>
      <c r="I1946" s="182" t="s">
        <v>2817</v>
      </c>
      <c r="J1946" s="182" t="s">
        <v>98</v>
      </c>
      <c r="K1946" s="129" t="s">
        <v>1902</v>
      </c>
      <c r="L1946" s="182" t="s">
        <v>155</v>
      </c>
      <c r="M1946" s="436"/>
      <c r="N1946" s="436"/>
      <c r="O1946" s="450"/>
      <c r="P1946" s="450"/>
      <c r="Q1946" s="450"/>
    </row>
    <row r="1947" spans="1:17" ht="15.6">
      <c r="A1947" s="503">
        <v>45897</v>
      </c>
      <c r="B1947" s="182" t="s">
        <v>2803</v>
      </c>
      <c r="C1947" s="517" t="s">
        <v>196</v>
      </c>
      <c r="D1947" s="517" t="s">
        <v>117</v>
      </c>
      <c r="E1947" s="496">
        <v>500</v>
      </c>
      <c r="F1947" s="325">
        <f t="shared" si="22"/>
        <v>0.89135775178182408</v>
      </c>
      <c r="G1947" s="326">
        <v>560.94200000000001</v>
      </c>
      <c r="H1947" s="517" t="s">
        <v>437</v>
      </c>
      <c r="I1947" s="182" t="s">
        <v>2817</v>
      </c>
      <c r="J1947" s="182" t="s">
        <v>98</v>
      </c>
      <c r="K1947" s="129" t="s">
        <v>1902</v>
      </c>
      <c r="L1947" s="182" t="s">
        <v>155</v>
      </c>
      <c r="M1947" s="436"/>
      <c r="N1947" s="436"/>
      <c r="O1947" s="450"/>
      <c r="P1947" s="450"/>
      <c r="Q1947" s="450"/>
    </row>
    <row r="1948" spans="1:17" ht="15.6">
      <c r="A1948" s="503">
        <v>45897</v>
      </c>
      <c r="B1948" s="182" t="s">
        <v>2808</v>
      </c>
      <c r="C1948" s="517" t="s">
        <v>196</v>
      </c>
      <c r="D1948" s="517" t="s">
        <v>117</v>
      </c>
      <c r="E1948" s="496">
        <v>500</v>
      </c>
      <c r="F1948" s="325">
        <f t="shared" si="22"/>
        <v>0.89135775178182408</v>
      </c>
      <c r="G1948" s="326">
        <v>560.94200000000001</v>
      </c>
      <c r="H1948" s="517" t="s">
        <v>437</v>
      </c>
      <c r="I1948" s="182" t="s">
        <v>2817</v>
      </c>
      <c r="J1948" s="182" t="s">
        <v>98</v>
      </c>
      <c r="K1948" s="129" t="s">
        <v>1902</v>
      </c>
      <c r="L1948" s="182" t="s">
        <v>155</v>
      </c>
      <c r="M1948" s="436"/>
      <c r="N1948" s="436"/>
      <c r="O1948" s="450"/>
      <c r="P1948" s="450"/>
      <c r="Q1948" s="450"/>
    </row>
    <row r="1949" spans="1:17" ht="15.6">
      <c r="A1949" s="503">
        <v>45897</v>
      </c>
      <c r="B1949" s="182" t="s">
        <v>2809</v>
      </c>
      <c r="C1949" s="517" t="s">
        <v>196</v>
      </c>
      <c r="D1949" s="517" t="s">
        <v>117</v>
      </c>
      <c r="E1949" s="496">
        <v>500</v>
      </c>
      <c r="F1949" s="325">
        <f t="shared" si="22"/>
        <v>0.89135775178182408</v>
      </c>
      <c r="G1949" s="326">
        <v>560.94200000000001</v>
      </c>
      <c r="H1949" s="517" t="s">
        <v>437</v>
      </c>
      <c r="I1949" s="182" t="s">
        <v>2817</v>
      </c>
      <c r="J1949" s="182" t="s">
        <v>98</v>
      </c>
      <c r="K1949" s="129" t="s">
        <v>1902</v>
      </c>
      <c r="L1949" s="182" t="s">
        <v>155</v>
      </c>
      <c r="M1949" s="436"/>
      <c r="N1949" s="436"/>
      <c r="O1949" s="450"/>
      <c r="P1949" s="450"/>
      <c r="Q1949" s="450"/>
    </row>
    <row r="1950" spans="1:17" ht="15.6">
      <c r="A1950" s="503">
        <v>45897</v>
      </c>
      <c r="B1950" s="182" t="s">
        <v>2794</v>
      </c>
      <c r="C1950" s="182" t="s">
        <v>313</v>
      </c>
      <c r="D1950" s="517" t="s">
        <v>117</v>
      </c>
      <c r="E1950" s="496">
        <v>1500</v>
      </c>
      <c r="F1950" s="325">
        <f t="shared" si="22"/>
        <v>2.6740732553454722</v>
      </c>
      <c r="G1950" s="326">
        <v>560.94200000000001</v>
      </c>
      <c r="H1950" s="517" t="s">
        <v>437</v>
      </c>
      <c r="I1950" s="182" t="s">
        <v>2828</v>
      </c>
      <c r="J1950" s="182" t="s">
        <v>98</v>
      </c>
      <c r="K1950" s="129" t="s">
        <v>1902</v>
      </c>
      <c r="L1950" s="182" t="s">
        <v>155</v>
      </c>
      <c r="M1950" s="436"/>
      <c r="N1950" s="436"/>
      <c r="O1950" s="450"/>
      <c r="P1950" s="450"/>
      <c r="Q1950" s="450"/>
    </row>
    <row r="1951" spans="1:17" ht="15.6">
      <c r="A1951" s="503">
        <v>45897</v>
      </c>
      <c r="B1951" s="182" t="s">
        <v>2795</v>
      </c>
      <c r="C1951" s="517" t="s">
        <v>196</v>
      </c>
      <c r="D1951" s="517" t="s">
        <v>117</v>
      </c>
      <c r="E1951" s="496">
        <v>500</v>
      </c>
      <c r="F1951" s="325">
        <f t="shared" si="22"/>
        <v>0.89135775178182408</v>
      </c>
      <c r="G1951" s="326">
        <v>560.94200000000001</v>
      </c>
      <c r="H1951" s="517" t="s">
        <v>437</v>
      </c>
      <c r="I1951" s="182" t="s">
        <v>2817</v>
      </c>
      <c r="J1951" s="182" t="s">
        <v>98</v>
      </c>
      <c r="K1951" s="129" t="s">
        <v>1902</v>
      </c>
      <c r="L1951" s="182" t="s">
        <v>155</v>
      </c>
      <c r="M1951" s="436"/>
      <c r="N1951" s="436"/>
      <c r="O1951" s="450"/>
      <c r="P1951" s="450"/>
      <c r="Q1951" s="450"/>
    </row>
    <row r="1952" spans="1:17" ht="15.6">
      <c r="A1952" s="505">
        <v>45897</v>
      </c>
      <c r="B1952" s="182" t="s">
        <v>2850</v>
      </c>
      <c r="C1952" s="182" t="s">
        <v>174</v>
      </c>
      <c r="D1952" s="182" t="s">
        <v>120</v>
      </c>
      <c r="E1952" s="496">
        <v>500</v>
      </c>
      <c r="F1952" s="325">
        <f t="shared" si="22"/>
        <v>0.89135775178182408</v>
      </c>
      <c r="G1952" s="326">
        <v>560.94200000000001</v>
      </c>
      <c r="H1952" s="182" t="s">
        <v>213</v>
      </c>
      <c r="I1952" s="182" t="s">
        <v>2853</v>
      </c>
      <c r="J1952" s="182" t="s">
        <v>98</v>
      </c>
      <c r="K1952" s="129" t="s">
        <v>1902</v>
      </c>
      <c r="L1952" s="182" t="s">
        <v>155</v>
      </c>
      <c r="M1952" s="436"/>
      <c r="N1952" s="436"/>
      <c r="O1952" s="450"/>
      <c r="P1952" s="450"/>
      <c r="Q1952" s="450"/>
    </row>
    <row r="1953" spans="1:17" ht="15.6">
      <c r="A1953" s="505">
        <v>45897</v>
      </c>
      <c r="B1953" s="182" t="s">
        <v>2840</v>
      </c>
      <c r="C1953" s="182" t="s">
        <v>174</v>
      </c>
      <c r="D1953" s="182" t="s">
        <v>120</v>
      </c>
      <c r="E1953" s="496">
        <v>500</v>
      </c>
      <c r="F1953" s="325">
        <f t="shared" si="22"/>
        <v>0.89135775178182408</v>
      </c>
      <c r="G1953" s="326">
        <v>560.94200000000001</v>
      </c>
      <c r="H1953" s="182" t="s">
        <v>213</v>
      </c>
      <c r="I1953" s="182" t="s">
        <v>2853</v>
      </c>
      <c r="J1953" s="182" t="s">
        <v>98</v>
      </c>
      <c r="K1953" s="129" t="s">
        <v>1902</v>
      </c>
      <c r="L1953" s="182" t="s">
        <v>155</v>
      </c>
      <c r="M1953" s="436"/>
      <c r="N1953" s="436"/>
      <c r="O1953" s="450"/>
      <c r="P1953" s="450"/>
      <c r="Q1953" s="450"/>
    </row>
    <row r="1954" spans="1:17" ht="15.6">
      <c r="A1954" s="535">
        <v>45898</v>
      </c>
      <c r="B1954" s="517" t="s">
        <v>2103</v>
      </c>
      <c r="C1954" s="308" t="s">
        <v>174</v>
      </c>
      <c r="D1954" s="308" t="s">
        <v>119</v>
      </c>
      <c r="E1954" s="517">
        <v>1000</v>
      </c>
      <c r="F1954" s="325">
        <f t="shared" si="22"/>
        <v>1.7827155035636482</v>
      </c>
      <c r="G1954" s="326">
        <v>560.94200000000001</v>
      </c>
      <c r="H1954" s="524" t="s">
        <v>153</v>
      </c>
      <c r="I1954" s="525" t="s">
        <v>2494</v>
      </c>
      <c r="J1954" s="182" t="s">
        <v>98</v>
      </c>
      <c r="K1954" s="129" t="s">
        <v>1902</v>
      </c>
      <c r="L1954" s="182" t="s">
        <v>155</v>
      </c>
      <c r="M1954" s="512"/>
      <c r="N1954" s="512"/>
      <c r="O1954" s="450"/>
      <c r="P1954" s="450"/>
      <c r="Q1954" s="450"/>
    </row>
    <row r="1955" spans="1:17" ht="15.6">
      <c r="A1955" s="535">
        <v>45898</v>
      </c>
      <c r="B1955" s="517" t="s">
        <v>2109</v>
      </c>
      <c r="C1955" s="308" t="s">
        <v>174</v>
      </c>
      <c r="D1955" s="308" t="s">
        <v>119</v>
      </c>
      <c r="E1955" s="517">
        <v>1000</v>
      </c>
      <c r="F1955" s="325">
        <f t="shared" si="22"/>
        <v>1.7827155035636482</v>
      </c>
      <c r="G1955" s="326">
        <v>560.94200000000001</v>
      </c>
      <c r="H1955" s="524" t="s">
        <v>153</v>
      </c>
      <c r="I1955" s="525" t="s">
        <v>2494</v>
      </c>
      <c r="J1955" s="182" t="s">
        <v>98</v>
      </c>
      <c r="K1955" s="129" t="s">
        <v>1902</v>
      </c>
      <c r="L1955" s="182" t="s">
        <v>155</v>
      </c>
      <c r="M1955" s="512"/>
      <c r="N1955" s="512"/>
      <c r="O1955" s="450"/>
      <c r="P1955" s="450"/>
      <c r="Q1955" s="450"/>
    </row>
    <row r="1956" spans="1:17" ht="15.6">
      <c r="A1956" s="535">
        <v>45898</v>
      </c>
      <c r="B1956" s="517" t="s">
        <v>2100</v>
      </c>
      <c r="C1956" s="308" t="s">
        <v>174</v>
      </c>
      <c r="D1956" s="308" t="s">
        <v>119</v>
      </c>
      <c r="E1956" s="517">
        <v>1000</v>
      </c>
      <c r="F1956" s="325">
        <f t="shared" si="22"/>
        <v>1.7827155035636482</v>
      </c>
      <c r="G1956" s="326">
        <v>560.94200000000001</v>
      </c>
      <c r="H1956" s="524" t="s">
        <v>153</v>
      </c>
      <c r="I1956" s="525" t="s">
        <v>2494</v>
      </c>
      <c r="J1956" s="182" t="s">
        <v>98</v>
      </c>
      <c r="K1956" s="129" t="s">
        <v>1902</v>
      </c>
      <c r="L1956" s="182" t="s">
        <v>155</v>
      </c>
      <c r="M1956" s="512"/>
      <c r="N1956" s="512"/>
      <c r="O1956" s="450"/>
      <c r="P1956" s="450"/>
      <c r="Q1956" s="450"/>
    </row>
    <row r="1957" spans="1:17" ht="15.6">
      <c r="A1957" s="536">
        <v>45898</v>
      </c>
      <c r="B1957" s="516" t="s">
        <v>2485</v>
      </c>
      <c r="C1957" s="516" t="s">
        <v>174</v>
      </c>
      <c r="D1957" s="516" t="s">
        <v>117</v>
      </c>
      <c r="E1957" s="526">
        <v>500</v>
      </c>
      <c r="F1957" s="325">
        <f t="shared" si="22"/>
        <v>0.89135775178182408</v>
      </c>
      <c r="G1957" s="326">
        <v>560.94200000000001</v>
      </c>
      <c r="H1957" s="177" t="s">
        <v>200</v>
      </c>
      <c r="I1957" s="516" t="s">
        <v>2489</v>
      </c>
      <c r="J1957" s="182" t="s">
        <v>98</v>
      </c>
      <c r="K1957" s="129" t="s">
        <v>1902</v>
      </c>
      <c r="L1957" s="182" t="s">
        <v>155</v>
      </c>
      <c r="M1957" s="512"/>
      <c r="N1957" s="512"/>
      <c r="O1957" s="450"/>
      <c r="P1957" s="450"/>
      <c r="Q1957" s="450"/>
    </row>
    <row r="1958" spans="1:17" ht="15.6">
      <c r="A1958" s="536">
        <v>45898</v>
      </c>
      <c r="B1958" s="516" t="s">
        <v>2486</v>
      </c>
      <c r="C1958" s="516" t="s">
        <v>174</v>
      </c>
      <c r="D1958" s="516" t="s">
        <v>117</v>
      </c>
      <c r="E1958" s="526">
        <v>500</v>
      </c>
      <c r="F1958" s="325">
        <f t="shared" si="22"/>
        <v>0.89135775178182408</v>
      </c>
      <c r="G1958" s="326">
        <v>560.94200000000001</v>
      </c>
      <c r="H1958" s="177" t="s">
        <v>200</v>
      </c>
      <c r="I1958" s="516" t="s">
        <v>2489</v>
      </c>
      <c r="J1958" s="182" t="s">
        <v>98</v>
      </c>
      <c r="K1958" s="129" t="s">
        <v>1902</v>
      </c>
      <c r="L1958" s="182" t="s">
        <v>155</v>
      </c>
      <c r="M1958" s="512"/>
      <c r="N1958" s="512"/>
      <c r="O1958" s="450"/>
      <c r="P1958" s="450"/>
      <c r="Q1958" s="450"/>
    </row>
    <row r="1959" spans="1:17" ht="15.6">
      <c r="A1959" s="504">
        <v>45898</v>
      </c>
      <c r="B1959" s="182" t="s">
        <v>2534</v>
      </c>
      <c r="C1959" s="182" t="s">
        <v>174</v>
      </c>
      <c r="D1959" s="182" t="s">
        <v>118</v>
      </c>
      <c r="E1959" s="435">
        <v>1000</v>
      </c>
      <c r="F1959" s="325">
        <f t="shared" si="22"/>
        <v>1.7827155035636482</v>
      </c>
      <c r="G1959" s="326">
        <v>560.94200000000001</v>
      </c>
      <c r="H1959" s="182" t="s">
        <v>583</v>
      </c>
      <c r="I1959" s="182" t="s">
        <v>2536</v>
      </c>
      <c r="J1959" s="182" t="s">
        <v>98</v>
      </c>
      <c r="K1959" s="129" t="s">
        <v>1902</v>
      </c>
      <c r="L1959" s="182" t="s">
        <v>155</v>
      </c>
      <c r="M1959" s="512"/>
      <c r="N1959" s="512"/>
      <c r="O1959" s="450"/>
      <c r="P1959" s="450"/>
      <c r="Q1959" s="450"/>
    </row>
    <row r="1960" spans="1:17" ht="15.6">
      <c r="A1960" s="504">
        <v>45898</v>
      </c>
      <c r="B1960" s="182" t="s">
        <v>2535</v>
      </c>
      <c r="C1960" s="182" t="s">
        <v>174</v>
      </c>
      <c r="D1960" s="182" t="s">
        <v>118</v>
      </c>
      <c r="E1960" s="435">
        <v>1000</v>
      </c>
      <c r="F1960" s="325">
        <f t="shared" si="22"/>
        <v>1.7827155035636482</v>
      </c>
      <c r="G1960" s="326">
        <v>560.94200000000001</v>
      </c>
      <c r="H1960" s="182" t="s">
        <v>583</v>
      </c>
      <c r="I1960" s="182" t="s">
        <v>2536</v>
      </c>
      <c r="J1960" s="182" t="s">
        <v>98</v>
      </c>
      <c r="K1960" s="129" t="s">
        <v>1902</v>
      </c>
      <c r="L1960" s="182" t="s">
        <v>155</v>
      </c>
      <c r="M1960" s="512"/>
      <c r="N1960" s="512"/>
      <c r="O1960" s="450"/>
      <c r="P1960" s="450"/>
      <c r="Q1960" s="450"/>
    </row>
    <row r="1961" spans="1:17" ht="15.6">
      <c r="A1961" s="506">
        <v>45898</v>
      </c>
      <c r="B1961" s="182" t="s">
        <v>2435</v>
      </c>
      <c r="C1961" s="182" t="s">
        <v>126</v>
      </c>
      <c r="D1961" s="182" t="s">
        <v>118</v>
      </c>
      <c r="E1961" s="435">
        <v>6000</v>
      </c>
      <c r="F1961" s="325">
        <f t="shared" si="22"/>
        <v>10.696293021381889</v>
      </c>
      <c r="G1961" s="326">
        <v>560.94200000000001</v>
      </c>
      <c r="H1961" s="520" t="s">
        <v>583</v>
      </c>
      <c r="I1961" s="182" t="s">
        <v>2436</v>
      </c>
      <c r="J1961" s="182" t="s">
        <v>98</v>
      </c>
      <c r="K1961" s="129" t="s">
        <v>1902</v>
      </c>
      <c r="L1961" s="182" t="s">
        <v>155</v>
      </c>
      <c r="M1961" s="512"/>
      <c r="N1961" s="512"/>
      <c r="O1961" s="450"/>
      <c r="P1961" s="450"/>
      <c r="Q1961" s="450"/>
    </row>
    <row r="1962" spans="1:17" ht="15.6">
      <c r="A1962" s="506">
        <v>45898</v>
      </c>
      <c r="B1962" s="182" t="s">
        <v>2437</v>
      </c>
      <c r="C1962" s="182" t="s">
        <v>626</v>
      </c>
      <c r="D1962" s="182" t="s">
        <v>118</v>
      </c>
      <c r="E1962" s="435">
        <v>45050</v>
      </c>
      <c r="F1962" s="325">
        <f t="shared" si="22"/>
        <v>80.311333435542352</v>
      </c>
      <c r="G1962" s="326">
        <v>560.94200000000001</v>
      </c>
      <c r="H1962" s="182" t="s">
        <v>583</v>
      </c>
      <c r="I1962" s="182" t="s">
        <v>2438</v>
      </c>
      <c r="J1962" s="182" t="s">
        <v>98</v>
      </c>
      <c r="K1962" s="129" t="s">
        <v>1902</v>
      </c>
      <c r="L1962" s="182" t="s">
        <v>155</v>
      </c>
      <c r="M1962" s="512"/>
      <c r="N1962" s="512"/>
      <c r="O1962" s="450"/>
      <c r="P1962" s="450"/>
      <c r="Q1962" s="450"/>
    </row>
    <row r="1963" spans="1:17" ht="15.6">
      <c r="A1963" s="467">
        <v>45898</v>
      </c>
      <c r="B1963" s="177" t="s">
        <v>3042</v>
      </c>
      <c r="C1963" s="177" t="s">
        <v>174</v>
      </c>
      <c r="D1963" s="177" t="s">
        <v>121</v>
      </c>
      <c r="E1963" s="177">
        <v>500</v>
      </c>
      <c r="F1963" s="325">
        <f t="shared" si="22"/>
        <v>0.89135775178182408</v>
      </c>
      <c r="G1963" s="326">
        <v>560.94200000000001</v>
      </c>
      <c r="H1963" s="177" t="s">
        <v>184</v>
      </c>
      <c r="I1963" s="177" t="s">
        <v>2558</v>
      </c>
      <c r="J1963" s="182" t="s">
        <v>98</v>
      </c>
      <c r="K1963" s="129" t="s">
        <v>1902</v>
      </c>
      <c r="L1963" s="182" t="s">
        <v>155</v>
      </c>
      <c r="M1963" s="436"/>
      <c r="N1963" s="436"/>
      <c r="O1963" s="450"/>
      <c r="P1963" s="450"/>
      <c r="Q1963" s="450"/>
    </row>
    <row r="1964" spans="1:17" ht="15.6">
      <c r="A1964" s="467">
        <v>45898</v>
      </c>
      <c r="B1964" s="177" t="s">
        <v>3042</v>
      </c>
      <c r="C1964" s="177" t="s">
        <v>174</v>
      </c>
      <c r="D1964" s="177" t="s">
        <v>121</v>
      </c>
      <c r="E1964" s="177">
        <v>500</v>
      </c>
      <c r="F1964" s="325">
        <f t="shared" ref="F1964:F1993" si="23">E1964/G1964</f>
        <v>0.89135775178182408</v>
      </c>
      <c r="G1964" s="326">
        <v>560.94200000000001</v>
      </c>
      <c r="H1964" s="177" t="s">
        <v>184</v>
      </c>
      <c r="I1964" s="177" t="s">
        <v>2558</v>
      </c>
      <c r="J1964" s="182" t="s">
        <v>98</v>
      </c>
      <c r="K1964" s="129" t="s">
        <v>1902</v>
      </c>
      <c r="L1964" s="182" t="s">
        <v>155</v>
      </c>
      <c r="M1964" s="436"/>
      <c r="N1964" s="436"/>
      <c r="O1964" s="450"/>
      <c r="P1964" s="450"/>
      <c r="Q1964" s="450"/>
    </row>
    <row r="1965" spans="1:17" ht="15.6">
      <c r="A1965" s="505">
        <v>45898</v>
      </c>
      <c r="B1965" s="182" t="s">
        <v>2705</v>
      </c>
      <c r="C1965" s="182" t="s">
        <v>174</v>
      </c>
      <c r="D1965" s="182" t="s">
        <v>117</v>
      </c>
      <c r="E1965" s="435">
        <v>500</v>
      </c>
      <c r="F1965" s="325">
        <f t="shared" si="23"/>
        <v>0.89135775178182408</v>
      </c>
      <c r="G1965" s="326">
        <v>560.94200000000001</v>
      </c>
      <c r="H1965" s="182" t="s">
        <v>190</v>
      </c>
      <c r="I1965" s="182" t="s">
        <v>2707</v>
      </c>
      <c r="J1965" s="182" t="s">
        <v>98</v>
      </c>
      <c r="K1965" s="129" t="s">
        <v>1902</v>
      </c>
      <c r="L1965" s="182" t="s">
        <v>155</v>
      </c>
      <c r="M1965" s="436"/>
      <c r="N1965" s="436"/>
      <c r="O1965" s="450"/>
      <c r="P1965" s="450"/>
      <c r="Q1965" s="450"/>
    </row>
    <row r="1966" spans="1:17" ht="15.6">
      <c r="A1966" s="505">
        <v>45898</v>
      </c>
      <c r="B1966" s="182" t="s">
        <v>2706</v>
      </c>
      <c r="C1966" s="182" t="s">
        <v>174</v>
      </c>
      <c r="D1966" s="182" t="s">
        <v>117</v>
      </c>
      <c r="E1966" s="435">
        <v>500</v>
      </c>
      <c r="F1966" s="325">
        <f t="shared" si="23"/>
        <v>0.89135775178182408</v>
      </c>
      <c r="G1966" s="326">
        <v>560.94200000000001</v>
      </c>
      <c r="H1966" s="182" t="s">
        <v>190</v>
      </c>
      <c r="I1966" s="182" t="s">
        <v>2707</v>
      </c>
      <c r="J1966" s="182" t="s">
        <v>98</v>
      </c>
      <c r="K1966" s="129" t="s">
        <v>1902</v>
      </c>
      <c r="L1966" s="182" t="s">
        <v>155</v>
      </c>
      <c r="M1966" s="436"/>
      <c r="N1966" s="436"/>
      <c r="O1966" s="450"/>
      <c r="P1966" s="450"/>
      <c r="Q1966" s="450"/>
    </row>
    <row r="1967" spans="1:17" ht="15.6">
      <c r="A1967" s="506">
        <v>45898</v>
      </c>
      <c r="B1967" s="182" t="s">
        <v>2416</v>
      </c>
      <c r="C1967" s="182" t="s">
        <v>182</v>
      </c>
      <c r="D1967" s="182" t="s">
        <v>118</v>
      </c>
      <c r="E1967" s="435">
        <v>8250</v>
      </c>
      <c r="F1967" s="325">
        <f t="shared" si="23"/>
        <v>14.707402904400098</v>
      </c>
      <c r="G1967" s="326">
        <v>560.94200000000001</v>
      </c>
      <c r="H1967" s="182" t="s">
        <v>190</v>
      </c>
      <c r="I1967" s="182" t="s">
        <v>2442</v>
      </c>
      <c r="J1967" s="182" t="s">
        <v>98</v>
      </c>
      <c r="K1967" s="129" t="s">
        <v>1902</v>
      </c>
      <c r="L1967" s="182" t="s">
        <v>155</v>
      </c>
      <c r="M1967" s="436"/>
      <c r="N1967" s="436"/>
      <c r="O1967" s="450"/>
      <c r="P1967" s="450"/>
      <c r="Q1967" s="450"/>
    </row>
    <row r="1968" spans="1:17" ht="15.6">
      <c r="A1968" s="505">
        <v>45898</v>
      </c>
      <c r="B1968" s="182" t="s">
        <v>2746</v>
      </c>
      <c r="C1968" s="182" t="s">
        <v>177</v>
      </c>
      <c r="D1968" s="182" t="s">
        <v>117</v>
      </c>
      <c r="E1968" s="435">
        <v>15000</v>
      </c>
      <c r="F1968" s="325">
        <f t="shared" si="23"/>
        <v>26.740732553454723</v>
      </c>
      <c r="G1968" s="326">
        <v>560.94200000000001</v>
      </c>
      <c r="H1968" s="182" t="s">
        <v>193</v>
      </c>
      <c r="I1968" s="182" t="s">
        <v>2766</v>
      </c>
      <c r="J1968" s="182" t="s">
        <v>98</v>
      </c>
      <c r="K1968" s="129" t="s">
        <v>1902</v>
      </c>
      <c r="L1968" s="182" t="s">
        <v>155</v>
      </c>
      <c r="M1968" s="436"/>
      <c r="N1968" s="436"/>
      <c r="O1968" s="450"/>
      <c r="P1968" s="450"/>
      <c r="Q1968" s="450"/>
    </row>
    <row r="1969" spans="1:17" ht="15.6">
      <c r="A1969" s="505">
        <v>45898</v>
      </c>
      <c r="B1969" s="182" t="s">
        <v>2747</v>
      </c>
      <c r="C1969" s="182" t="s">
        <v>174</v>
      </c>
      <c r="D1969" s="182" t="s">
        <v>117</v>
      </c>
      <c r="E1969" s="435">
        <v>500</v>
      </c>
      <c r="F1969" s="325">
        <f t="shared" si="23"/>
        <v>0.89135775178182408</v>
      </c>
      <c r="G1969" s="326">
        <v>560.94200000000001</v>
      </c>
      <c r="H1969" s="182" t="s">
        <v>193</v>
      </c>
      <c r="I1969" s="182" t="s">
        <v>2753</v>
      </c>
      <c r="J1969" s="182" t="s">
        <v>98</v>
      </c>
      <c r="K1969" s="129" t="s">
        <v>1902</v>
      </c>
      <c r="L1969" s="182" t="s">
        <v>155</v>
      </c>
      <c r="M1969" s="436"/>
      <c r="N1969" s="436"/>
      <c r="O1969" s="450"/>
      <c r="P1969" s="450"/>
      <c r="Q1969" s="450"/>
    </row>
    <row r="1970" spans="1:17" ht="15.6">
      <c r="A1970" s="505">
        <v>45898</v>
      </c>
      <c r="B1970" s="182" t="s">
        <v>2748</v>
      </c>
      <c r="C1970" s="182" t="s">
        <v>174</v>
      </c>
      <c r="D1970" s="182" t="s">
        <v>117</v>
      </c>
      <c r="E1970" s="435">
        <v>500</v>
      </c>
      <c r="F1970" s="325">
        <f t="shared" si="23"/>
        <v>0.89135775178182408</v>
      </c>
      <c r="G1970" s="326">
        <v>560.94200000000001</v>
      </c>
      <c r="H1970" s="182" t="s">
        <v>193</v>
      </c>
      <c r="I1970" s="182" t="s">
        <v>2753</v>
      </c>
      <c r="J1970" s="182" t="s">
        <v>98</v>
      </c>
      <c r="K1970" s="129" t="s">
        <v>1902</v>
      </c>
      <c r="L1970" s="182" t="s">
        <v>155</v>
      </c>
      <c r="M1970" s="436"/>
      <c r="N1970" s="436"/>
      <c r="O1970" s="450"/>
      <c r="P1970" s="450"/>
      <c r="Q1970" s="450"/>
    </row>
    <row r="1971" spans="1:17" ht="15.6">
      <c r="A1971" s="503">
        <v>45898</v>
      </c>
      <c r="B1971" s="182" t="s">
        <v>2810</v>
      </c>
      <c r="C1971" s="517" t="s">
        <v>196</v>
      </c>
      <c r="D1971" s="517" t="s">
        <v>117</v>
      </c>
      <c r="E1971" s="496">
        <v>500</v>
      </c>
      <c r="F1971" s="325">
        <f t="shared" si="23"/>
        <v>0.89135775178182408</v>
      </c>
      <c r="G1971" s="326">
        <v>560.94200000000001</v>
      </c>
      <c r="H1971" s="517" t="s">
        <v>437</v>
      </c>
      <c r="I1971" s="182" t="s">
        <v>2817</v>
      </c>
      <c r="J1971" s="182" t="s">
        <v>98</v>
      </c>
      <c r="K1971" s="129" t="s">
        <v>1902</v>
      </c>
      <c r="L1971" s="182" t="s">
        <v>155</v>
      </c>
      <c r="M1971" s="436"/>
      <c r="N1971" s="436"/>
      <c r="O1971" s="450"/>
      <c r="P1971" s="450"/>
      <c r="Q1971" s="450"/>
    </row>
    <row r="1972" spans="1:17" ht="15.6">
      <c r="A1972" s="503">
        <v>45898</v>
      </c>
      <c r="B1972" s="182" t="s">
        <v>2797</v>
      </c>
      <c r="C1972" s="182" t="s">
        <v>313</v>
      </c>
      <c r="D1972" s="517" t="s">
        <v>117</v>
      </c>
      <c r="E1972" s="496">
        <v>1500</v>
      </c>
      <c r="F1972" s="325">
        <f t="shared" si="23"/>
        <v>2.6740732553454722</v>
      </c>
      <c r="G1972" s="326">
        <v>560.94200000000001</v>
      </c>
      <c r="H1972" s="517" t="s">
        <v>437</v>
      </c>
      <c r="I1972" s="182" t="s">
        <v>2828</v>
      </c>
      <c r="J1972" s="182" t="s">
        <v>98</v>
      </c>
      <c r="K1972" s="129" t="s">
        <v>1902</v>
      </c>
      <c r="L1972" s="182" t="s">
        <v>155</v>
      </c>
      <c r="M1972" s="436"/>
      <c r="N1972" s="436"/>
      <c r="O1972" s="450"/>
      <c r="P1972" s="450"/>
      <c r="Q1972" s="450"/>
    </row>
    <row r="1973" spans="1:17" ht="15.6">
      <c r="A1973" s="503">
        <v>45898</v>
      </c>
      <c r="B1973" s="182" t="s">
        <v>2795</v>
      </c>
      <c r="C1973" s="532" t="s">
        <v>196</v>
      </c>
      <c r="D1973" s="517" t="s">
        <v>117</v>
      </c>
      <c r="E1973" s="496">
        <v>500</v>
      </c>
      <c r="F1973" s="325">
        <f t="shared" si="23"/>
        <v>0.89135775178182408</v>
      </c>
      <c r="G1973" s="326">
        <v>560.94200000000001</v>
      </c>
      <c r="H1973" s="517" t="s">
        <v>437</v>
      </c>
      <c r="I1973" s="182" t="s">
        <v>2817</v>
      </c>
      <c r="J1973" s="182" t="s">
        <v>98</v>
      </c>
      <c r="K1973" s="129" t="s">
        <v>1902</v>
      </c>
      <c r="L1973" s="182" t="s">
        <v>155</v>
      </c>
      <c r="M1973" s="436"/>
      <c r="N1973" s="436"/>
      <c r="O1973" s="450"/>
      <c r="P1973" s="450"/>
      <c r="Q1973" s="450"/>
    </row>
    <row r="1974" spans="1:17" ht="15.6">
      <c r="A1974" s="503">
        <v>45898</v>
      </c>
      <c r="B1974" s="182" t="s">
        <v>2811</v>
      </c>
      <c r="C1974" s="532" t="s">
        <v>196</v>
      </c>
      <c r="D1974" s="517" t="s">
        <v>117</v>
      </c>
      <c r="E1974" s="496">
        <v>500</v>
      </c>
      <c r="F1974" s="325">
        <f t="shared" si="23"/>
        <v>0.89135775178182408</v>
      </c>
      <c r="G1974" s="326">
        <v>560.94200000000001</v>
      </c>
      <c r="H1974" s="517" t="s">
        <v>437</v>
      </c>
      <c r="I1974" s="182" t="s">
        <v>2817</v>
      </c>
      <c r="J1974" s="182" t="s">
        <v>98</v>
      </c>
      <c r="K1974" s="129" t="s">
        <v>1902</v>
      </c>
      <c r="L1974" s="182" t="s">
        <v>155</v>
      </c>
      <c r="M1974" s="436"/>
      <c r="N1974" s="436"/>
      <c r="O1974" s="450"/>
      <c r="P1974" s="450"/>
      <c r="Q1974" s="450"/>
    </row>
    <row r="1975" spans="1:17" ht="15.6">
      <c r="A1975" s="503">
        <v>45898</v>
      </c>
      <c r="B1975" s="182" t="s">
        <v>1092</v>
      </c>
      <c r="C1975" s="519" t="s">
        <v>2812</v>
      </c>
      <c r="D1975" s="517" t="s">
        <v>2479</v>
      </c>
      <c r="E1975" s="496">
        <v>25200</v>
      </c>
      <c r="F1975" s="325">
        <f t="shared" si="23"/>
        <v>44.924430689803934</v>
      </c>
      <c r="G1975" s="326">
        <v>560.94200000000001</v>
      </c>
      <c r="H1975" s="517" t="s">
        <v>437</v>
      </c>
      <c r="I1975" s="182" t="s">
        <v>2830</v>
      </c>
      <c r="J1975" s="182" t="s">
        <v>98</v>
      </c>
      <c r="K1975" s="129" t="s">
        <v>1902</v>
      </c>
      <c r="L1975" s="182" t="s">
        <v>155</v>
      </c>
      <c r="M1975" s="436"/>
      <c r="N1975" s="436"/>
      <c r="O1975" s="450"/>
      <c r="P1975" s="450"/>
      <c r="Q1975" s="450"/>
    </row>
    <row r="1976" spans="1:17" ht="15.6">
      <c r="A1976" s="503">
        <v>45898</v>
      </c>
      <c r="B1976" s="182" t="s">
        <v>2813</v>
      </c>
      <c r="C1976" s="532" t="s">
        <v>196</v>
      </c>
      <c r="D1976" s="517" t="s">
        <v>117</v>
      </c>
      <c r="E1976" s="533">
        <v>500</v>
      </c>
      <c r="F1976" s="325">
        <f t="shared" si="23"/>
        <v>0.89135775178182408</v>
      </c>
      <c r="G1976" s="326">
        <v>560.94200000000001</v>
      </c>
      <c r="H1976" s="517" t="s">
        <v>437</v>
      </c>
      <c r="I1976" s="182" t="s">
        <v>2817</v>
      </c>
      <c r="J1976" s="182" t="s">
        <v>98</v>
      </c>
      <c r="K1976" s="129" t="s">
        <v>1902</v>
      </c>
      <c r="L1976" s="182" t="s">
        <v>155</v>
      </c>
      <c r="M1976" s="436"/>
      <c r="N1976" s="436"/>
      <c r="O1976" s="450"/>
      <c r="P1976" s="450"/>
      <c r="Q1976" s="450"/>
    </row>
    <row r="1977" spans="1:17" ht="15.6">
      <c r="A1977" s="503">
        <v>45898</v>
      </c>
      <c r="B1977" s="182" t="s">
        <v>2814</v>
      </c>
      <c r="C1977" s="517" t="s">
        <v>196</v>
      </c>
      <c r="D1977" s="517" t="s">
        <v>117</v>
      </c>
      <c r="E1977" s="496">
        <v>500</v>
      </c>
      <c r="F1977" s="325">
        <f t="shared" si="23"/>
        <v>0.89135775178182408</v>
      </c>
      <c r="G1977" s="326">
        <v>560.94200000000001</v>
      </c>
      <c r="H1977" s="517" t="s">
        <v>437</v>
      </c>
      <c r="I1977" s="182" t="s">
        <v>2817</v>
      </c>
      <c r="J1977" s="182" t="s">
        <v>98</v>
      </c>
      <c r="K1977" s="129" t="s">
        <v>1902</v>
      </c>
      <c r="L1977" s="182" t="s">
        <v>155</v>
      </c>
      <c r="M1977" s="436"/>
      <c r="N1977" s="436"/>
      <c r="O1977" s="450"/>
      <c r="P1977" s="450"/>
      <c r="Q1977" s="450"/>
    </row>
    <row r="1978" spans="1:17" ht="15.6">
      <c r="A1978" s="505">
        <v>45898</v>
      </c>
      <c r="B1978" s="182" t="s">
        <v>2851</v>
      </c>
      <c r="C1978" s="519" t="s">
        <v>174</v>
      </c>
      <c r="D1978" s="182" t="s">
        <v>120</v>
      </c>
      <c r="E1978" s="496">
        <v>500</v>
      </c>
      <c r="F1978" s="325">
        <f t="shared" si="23"/>
        <v>0.89135775178182408</v>
      </c>
      <c r="G1978" s="326">
        <v>560.94200000000001</v>
      </c>
      <c r="H1978" s="182" t="s">
        <v>213</v>
      </c>
      <c r="I1978" s="182" t="s">
        <v>2853</v>
      </c>
      <c r="J1978" s="182" t="s">
        <v>98</v>
      </c>
      <c r="K1978" s="129" t="s">
        <v>1902</v>
      </c>
      <c r="L1978" s="182" t="s">
        <v>155</v>
      </c>
      <c r="M1978" s="436"/>
      <c r="N1978" s="436"/>
      <c r="O1978" s="450"/>
      <c r="P1978" s="450"/>
      <c r="Q1978" s="450"/>
    </row>
    <row r="1979" spans="1:17" ht="15.6">
      <c r="A1979" s="506">
        <v>45898</v>
      </c>
      <c r="B1979" s="182" t="s">
        <v>2978</v>
      </c>
      <c r="C1979" s="182" t="s">
        <v>2088</v>
      </c>
      <c r="D1979" s="182" t="s">
        <v>120</v>
      </c>
      <c r="E1979" s="435">
        <v>50000</v>
      </c>
      <c r="F1979" s="325">
        <f t="shared" si="23"/>
        <v>89.135775178182413</v>
      </c>
      <c r="G1979" s="326">
        <v>560.94200000000001</v>
      </c>
      <c r="H1979" s="182" t="s">
        <v>213</v>
      </c>
      <c r="I1979" s="182" t="s">
        <v>2440</v>
      </c>
      <c r="J1979" s="182" t="s">
        <v>98</v>
      </c>
      <c r="K1979" s="129" t="s">
        <v>1902</v>
      </c>
      <c r="L1979" s="182" t="s">
        <v>155</v>
      </c>
      <c r="M1979" s="436"/>
      <c r="N1979" s="436"/>
      <c r="O1979" s="450"/>
      <c r="P1979" s="450"/>
      <c r="Q1979" s="450"/>
    </row>
    <row r="1980" spans="1:17" ht="15.6">
      <c r="A1980" s="505">
        <v>45898</v>
      </c>
      <c r="B1980" s="182" t="s">
        <v>2977</v>
      </c>
      <c r="C1980" s="182" t="s">
        <v>2088</v>
      </c>
      <c r="D1980" s="182" t="s">
        <v>120</v>
      </c>
      <c r="E1980" s="435">
        <v>50000</v>
      </c>
      <c r="F1980" s="325">
        <f t="shared" si="23"/>
        <v>89.135775178182413</v>
      </c>
      <c r="G1980" s="326">
        <v>560.94200000000001</v>
      </c>
      <c r="H1980" s="182" t="s">
        <v>213</v>
      </c>
      <c r="I1980" s="182" t="s">
        <v>2440</v>
      </c>
      <c r="J1980" s="182" t="s">
        <v>98</v>
      </c>
      <c r="K1980" s="129" t="s">
        <v>1902</v>
      </c>
      <c r="L1980" s="182" t="s">
        <v>155</v>
      </c>
      <c r="M1980" s="436"/>
      <c r="N1980" s="436"/>
      <c r="O1980" s="450"/>
      <c r="P1980" s="450"/>
      <c r="Q1980" s="450"/>
    </row>
    <row r="1981" spans="1:17" ht="15.6">
      <c r="A1981" s="506">
        <v>45898</v>
      </c>
      <c r="B1981" s="182" t="s">
        <v>2976</v>
      </c>
      <c r="C1981" s="182" t="s">
        <v>2088</v>
      </c>
      <c r="D1981" s="182" t="s">
        <v>120</v>
      </c>
      <c r="E1981" s="435">
        <v>50000</v>
      </c>
      <c r="F1981" s="325">
        <f t="shared" si="23"/>
        <v>89.135775178182413</v>
      </c>
      <c r="G1981" s="326">
        <v>560.94200000000001</v>
      </c>
      <c r="H1981" s="182" t="s">
        <v>213</v>
      </c>
      <c r="I1981" s="182" t="s">
        <v>2440</v>
      </c>
      <c r="J1981" s="182" t="s">
        <v>98</v>
      </c>
      <c r="K1981" s="129" t="s">
        <v>1902</v>
      </c>
      <c r="L1981" s="182" t="s">
        <v>155</v>
      </c>
      <c r="M1981" s="436"/>
      <c r="N1981" s="436"/>
      <c r="O1981" s="450"/>
      <c r="P1981" s="450"/>
      <c r="Q1981" s="450"/>
    </row>
    <row r="1982" spans="1:17" ht="15.6">
      <c r="A1982" s="505">
        <v>45898</v>
      </c>
      <c r="B1982" s="182" t="s">
        <v>2975</v>
      </c>
      <c r="C1982" s="182" t="s">
        <v>2088</v>
      </c>
      <c r="D1982" s="182" t="s">
        <v>120</v>
      </c>
      <c r="E1982" s="435">
        <v>50000</v>
      </c>
      <c r="F1982" s="325">
        <f t="shared" si="23"/>
        <v>89.135775178182413</v>
      </c>
      <c r="G1982" s="326">
        <v>560.94200000000001</v>
      </c>
      <c r="H1982" s="182" t="s">
        <v>213</v>
      </c>
      <c r="I1982" s="182" t="s">
        <v>2440</v>
      </c>
      <c r="J1982" s="182" t="s">
        <v>98</v>
      </c>
      <c r="K1982" s="129" t="s">
        <v>1902</v>
      </c>
      <c r="L1982" s="182" t="s">
        <v>155</v>
      </c>
      <c r="M1982" s="436"/>
      <c r="N1982" s="436"/>
      <c r="O1982" s="450"/>
      <c r="P1982" s="450"/>
      <c r="Q1982" s="450"/>
    </row>
    <row r="1983" spans="1:17" ht="15.6">
      <c r="A1983" s="505">
        <v>45898</v>
      </c>
      <c r="B1983" s="182" t="s">
        <v>2852</v>
      </c>
      <c r="C1983" s="182" t="s">
        <v>174</v>
      </c>
      <c r="D1983" s="182" t="s">
        <v>120</v>
      </c>
      <c r="E1983" s="496">
        <v>500</v>
      </c>
      <c r="F1983" s="325">
        <f t="shared" si="23"/>
        <v>0.89135775178182408</v>
      </c>
      <c r="G1983" s="326">
        <v>560.94200000000001</v>
      </c>
      <c r="H1983" s="182" t="s">
        <v>213</v>
      </c>
      <c r="I1983" s="182" t="s">
        <v>2853</v>
      </c>
      <c r="J1983" s="182" t="s">
        <v>98</v>
      </c>
      <c r="K1983" s="129" t="s">
        <v>1902</v>
      </c>
      <c r="L1983" s="182" t="s">
        <v>155</v>
      </c>
      <c r="M1983" s="436"/>
      <c r="N1983" s="436"/>
      <c r="O1983" s="450"/>
      <c r="P1983" s="450"/>
      <c r="Q1983" s="450"/>
    </row>
    <row r="1984" spans="1:17" ht="15.6">
      <c r="A1984" s="508">
        <v>45898</v>
      </c>
      <c r="B1984" s="367" t="s">
        <v>2907</v>
      </c>
      <c r="C1984" s="182" t="s">
        <v>127</v>
      </c>
      <c r="D1984" s="182" t="s">
        <v>121</v>
      </c>
      <c r="E1984" s="435">
        <v>222097</v>
      </c>
      <c r="F1984" s="325">
        <f t="shared" si="23"/>
        <v>395.9357651949756</v>
      </c>
      <c r="G1984" s="326">
        <v>560.94200000000001</v>
      </c>
      <c r="H1984" s="182" t="s">
        <v>148</v>
      </c>
      <c r="I1984" s="182" t="s">
        <v>2928</v>
      </c>
      <c r="J1984" s="182" t="s">
        <v>98</v>
      </c>
      <c r="K1984" s="129" t="s">
        <v>1902</v>
      </c>
      <c r="L1984" s="182" t="s">
        <v>155</v>
      </c>
      <c r="M1984" s="436"/>
      <c r="N1984" s="436"/>
      <c r="O1984" s="450"/>
      <c r="P1984" s="450"/>
      <c r="Q1984" s="450"/>
    </row>
    <row r="1985" spans="1:17" ht="15.6">
      <c r="A1985" s="508">
        <v>45898</v>
      </c>
      <c r="B1985" s="367" t="s">
        <v>2908</v>
      </c>
      <c r="C1985" s="439" t="s">
        <v>127</v>
      </c>
      <c r="D1985" s="444" t="s">
        <v>121</v>
      </c>
      <c r="E1985" s="435">
        <v>255000</v>
      </c>
      <c r="F1985" s="325">
        <f t="shared" si="23"/>
        <v>454.59245340873031</v>
      </c>
      <c r="G1985" s="326">
        <v>560.94200000000001</v>
      </c>
      <c r="H1985" s="182" t="s">
        <v>148</v>
      </c>
      <c r="I1985" s="182" t="s">
        <v>2929</v>
      </c>
      <c r="J1985" s="182" t="s">
        <v>98</v>
      </c>
      <c r="K1985" s="129" t="s">
        <v>1902</v>
      </c>
      <c r="L1985" s="182" t="s">
        <v>155</v>
      </c>
      <c r="M1985" s="436"/>
      <c r="N1985" s="436"/>
      <c r="O1985" s="450"/>
      <c r="P1985" s="450"/>
      <c r="Q1985" s="450"/>
    </row>
    <row r="1986" spans="1:17" ht="15.6">
      <c r="A1986" s="505">
        <v>45899</v>
      </c>
      <c r="B1986" s="182" t="s">
        <v>2749</v>
      </c>
      <c r="C1986" s="182" t="s">
        <v>177</v>
      </c>
      <c r="D1986" s="182" t="s">
        <v>117</v>
      </c>
      <c r="E1986" s="435">
        <v>15000</v>
      </c>
      <c r="F1986" s="325">
        <f t="shared" si="23"/>
        <v>26.740732553454723</v>
      </c>
      <c r="G1986" s="326">
        <v>560.94200000000001</v>
      </c>
      <c r="H1986" s="182" t="s">
        <v>193</v>
      </c>
      <c r="I1986" s="182" t="s">
        <v>2767</v>
      </c>
      <c r="J1986" s="182" t="s">
        <v>98</v>
      </c>
      <c r="K1986" s="129" t="s">
        <v>1902</v>
      </c>
      <c r="L1986" s="182" t="s">
        <v>155</v>
      </c>
      <c r="M1986" s="436"/>
      <c r="N1986" s="436"/>
      <c r="O1986" s="450"/>
      <c r="P1986" s="450"/>
      <c r="Q1986" s="450"/>
    </row>
    <row r="1987" spans="1:17" ht="15.6">
      <c r="A1987" s="505">
        <v>45899</v>
      </c>
      <c r="B1987" s="182" t="s">
        <v>2750</v>
      </c>
      <c r="C1987" s="182" t="s">
        <v>174</v>
      </c>
      <c r="D1987" s="182" t="s">
        <v>117</v>
      </c>
      <c r="E1987" s="435">
        <v>500</v>
      </c>
      <c r="F1987" s="325">
        <f t="shared" si="23"/>
        <v>0.89135775178182408</v>
      </c>
      <c r="G1987" s="326">
        <v>560.94200000000001</v>
      </c>
      <c r="H1987" s="182" t="s">
        <v>193</v>
      </c>
      <c r="I1987" s="182" t="s">
        <v>2753</v>
      </c>
      <c r="J1987" s="182" t="s">
        <v>98</v>
      </c>
      <c r="K1987" s="129" t="s">
        <v>1902</v>
      </c>
      <c r="L1987" s="182" t="s">
        <v>155</v>
      </c>
      <c r="M1987" s="436"/>
      <c r="N1987" s="436"/>
      <c r="O1987" s="450"/>
      <c r="P1987" s="450"/>
      <c r="Q1987" s="450"/>
    </row>
    <row r="1988" spans="1:17" ht="15.6">
      <c r="A1988" s="505">
        <v>45899</v>
      </c>
      <c r="B1988" s="182" t="s">
        <v>2751</v>
      </c>
      <c r="C1988" s="519" t="s">
        <v>174</v>
      </c>
      <c r="D1988" s="519" t="s">
        <v>117</v>
      </c>
      <c r="E1988" s="435">
        <v>500</v>
      </c>
      <c r="F1988" s="325">
        <f t="shared" si="23"/>
        <v>0.89135775178182408</v>
      </c>
      <c r="G1988" s="326">
        <v>560.94200000000001</v>
      </c>
      <c r="H1988" s="182" t="s">
        <v>193</v>
      </c>
      <c r="I1988" s="182" t="s">
        <v>2753</v>
      </c>
      <c r="J1988" s="182" t="s">
        <v>98</v>
      </c>
      <c r="K1988" s="129" t="s">
        <v>1902</v>
      </c>
      <c r="L1988" s="182" t="s">
        <v>155</v>
      </c>
      <c r="M1988" s="436"/>
      <c r="N1988" s="436"/>
      <c r="O1988" s="450"/>
      <c r="P1988" s="450"/>
      <c r="Q1988" s="450"/>
    </row>
    <row r="1989" spans="1:17" ht="15.6">
      <c r="A1989" s="467">
        <v>45900</v>
      </c>
      <c r="B1989" s="177" t="s">
        <v>3076</v>
      </c>
      <c r="C1989" s="511" t="s">
        <v>174</v>
      </c>
      <c r="D1989" s="177" t="s">
        <v>121</v>
      </c>
      <c r="E1989" s="177">
        <v>35000</v>
      </c>
      <c r="F1989" s="325">
        <f t="shared" si="23"/>
        <v>62.395042624727687</v>
      </c>
      <c r="G1989" s="326">
        <v>560.94200000000001</v>
      </c>
      <c r="H1989" s="177" t="s">
        <v>184</v>
      </c>
      <c r="I1989" s="177" t="s">
        <v>2576</v>
      </c>
      <c r="J1989" s="182" t="s">
        <v>98</v>
      </c>
      <c r="K1989" s="129" t="s">
        <v>1902</v>
      </c>
      <c r="L1989" s="182" t="s">
        <v>155</v>
      </c>
      <c r="M1989" s="436"/>
      <c r="N1989" s="436"/>
      <c r="O1989" s="450"/>
      <c r="P1989" s="450"/>
      <c r="Q1989" s="450"/>
    </row>
    <row r="1990" spans="1:17" ht="15.6">
      <c r="A1990" s="467">
        <v>45900</v>
      </c>
      <c r="B1990" s="177" t="s">
        <v>3026</v>
      </c>
      <c r="C1990" s="511" t="s">
        <v>177</v>
      </c>
      <c r="D1990" s="177" t="s">
        <v>121</v>
      </c>
      <c r="E1990" s="177">
        <v>90000</v>
      </c>
      <c r="F1990" s="325">
        <f t="shared" si="23"/>
        <v>160.44439532072835</v>
      </c>
      <c r="G1990" s="326">
        <v>560.94200000000001</v>
      </c>
      <c r="H1990" s="177" t="s">
        <v>184</v>
      </c>
      <c r="I1990" s="177" t="s">
        <v>2577</v>
      </c>
      <c r="J1990" s="182" t="s">
        <v>98</v>
      </c>
      <c r="K1990" s="129" t="s">
        <v>1902</v>
      </c>
      <c r="L1990" s="182" t="s">
        <v>155</v>
      </c>
      <c r="M1990" s="436"/>
      <c r="N1990" s="436"/>
      <c r="O1990" s="450"/>
      <c r="P1990" s="450"/>
      <c r="Q1990" s="450"/>
    </row>
    <row r="1991" spans="1:17" ht="15.6">
      <c r="A1991" s="467">
        <v>45900</v>
      </c>
      <c r="B1991" s="177" t="s">
        <v>3160</v>
      </c>
      <c r="C1991" s="177" t="s">
        <v>174</v>
      </c>
      <c r="D1991" s="177" t="s">
        <v>121</v>
      </c>
      <c r="E1991" s="177">
        <v>1000</v>
      </c>
      <c r="F1991" s="325">
        <f t="shared" si="23"/>
        <v>1.7827155035636482</v>
      </c>
      <c r="G1991" s="326">
        <v>560.94200000000001</v>
      </c>
      <c r="H1991" s="177" t="s">
        <v>184</v>
      </c>
      <c r="I1991" s="177" t="s">
        <v>2558</v>
      </c>
      <c r="J1991" s="182" t="s">
        <v>98</v>
      </c>
      <c r="K1991" s="129" t="s">
        <v>1902</v>
      </c>
      <c r="L1991" s="182" t="s">
        <v>155</v>
      </c>
      <c r="M1991" s="436"/>
      <c r="N1991" s="436"/>
      <c r="O1991" s="450"/>
      <c r="P1991" s="450"/>
      <c r="Q1991" s="450"/>
    </row>
    <row r="1992" spans="1:17" ht="15.6">
      <c r="A1992" s="505">
        <v>45900</v>
      </c>
      <c r="B1992" s="182" t="s">
        <v>2990</v>
      </c>
      <c r="C1992" s="519" t="s">
        <v>174</v>
      </c>
      <c r="D1992" s="177" t="s">
        <v>121</v>
      </c>
      <c r="E1992" s="182">
        <v>35000</v>
      </c>
      <c r="F1992" s="325">
        <f t="shared" si="23"/>
        <v>62.395042624727687</v>
      </c>
      <c r="G1992" s="326">
        <v>560.94200000000001</v>
      </c>
      <c r="H1992" s="182" t="s">
        <v>175</v>
      </c>
      <c r="I1992" s="182" t="s">
        <v>2603</v>
      </c>
      <c r="J1992" s="182" t="s">
        <v>98</v>
      </c>
      <c r="K1992" s="129" t="s">
        <v>1902</v>
      </c>
      <c r="L1992" s="182" t="s">
        <v>155</v>
      </c>
      <c r="M1992" s="436"/>
      <c r="N1992" s="436"/>
      <c r="O1992" s="450"/>
      <c r="P1992" s="450"/>
      <c r="Q1992" s="450"/>
    </row>
    <row r="1993" spans="1:17" ht="15.6">
      <c r="A1993" s="505">
        <v>45900</v>
      </c>
      <c r="B1993" s="519" t="s">
        <v>2992</v>
      </c>
      <c r="C1993" s="519" t="s">
        <v>2456</v>
      </c>
      <c r="D1993" s="177" t="s">
        <v>121</v>
      </c>
      <c r="E1993" s="182">
        <v>90000</v>
      </c>
      <c r="F1993" s="325">
        <f t="shared" si="23"/>
        <v>160.44439532072835</v>
      </c>
      <c r="G1993" s="326">
        <v>560.94200000000001</v>
      </c>
      <c r="H1993" s="182" t="s">
        <v>175</v>
      </c>
      <c r="I1993" s="182" t="s">
        <v>2604</v>
      </c>
      <c r="J1993" s="182" t="s">
        <v>98</v>
      </c>
      <c r="K1993" s="129" t="s">
        <v>1902</v>
      </c>
      <c r="L1993" s="182" t="s">
        <v>155</v>
      </c>
      <c r="M1993" s="436"/>
      <c r="N1993" s="436"/>
      <c r="O1993" s="450"/>
      <c r="P1993" s="450"/>
      <c r="Q1993" s="450"/>
    </row>
  </sheetData>
  <autoFilter ref="A1:O1993">
    <filterColumn colId="0">
      <filters>
        <dateGroupItem year="2025" month="8" dateTimeGrouping="month"/>
      </filters>
    </filterColumn>
    <sortState ref="A1374:O1993">
      <sortCondition ref="A1:A1993"/>
    </sortState>
  </autoFilter>
  <dataValidations count="1">
    <dataValidation type="list" allowBlank="1" showInputMessage="1" showErrorMessage="1" sqref="C44:C46 C177:C178 C59:C60 C55 C175 C326 C232 C948 C1003:C1006 C965:C967 C953 C995:C999 C835:C837 C945:C946 C829:C832 C933:C940 C825 C827 C943 C957:C958 C1001 C1008:C1010 C960 C962 C1142:C1143 C1150:C1151 C1334:C1336 C1305 C1302 C1292 C1971 C1955:C1969"/>
  </dataValidations>
  <pageMargins left="0.7" right="0.7" top="0.78740157499999996" bottom="0.78740157499999996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6"/>
  <sheetViews>
    <sheetView zoomScale="72" zoomScaleNormal="72" workbookViewId="0">
      <pane ySplit="1" topLeftCell="A48" activePane="bottomLeft" state="frozen"/>
      <selection pane="bottomLeft" activeCell="L42" sqref="L42"/>
    </sheetView>
  </sheetViews>
  <sheetFormatPr baseColWidth="10" defaultColWidth="8.69921875" defaultRowHeight="13.8"/>
  <cols>
    <col min="1" max="8" width="13.3984375" customWidth="1"/>
    <col min="9" max="9" width="16" customWidth="1"/>
    <col min="10" max="10" width="19.09765625" style="166" customWidth="1"/>
    <col min="11" max="11" width="21.09765625" bestFit="1" customWidth="1"/>
    <col min="12" max="12" width="23.3984375" bestFit="1" customWidth="1"/>
    <col min="13" max="13" width="20.09765625" bestFit="1" customWidth="1"/>
    <col min="14" max="14" width="21.09765625" bestFit="1" customWidth="1"/>
    <col min="15" max="15" width="25.3984375" bestFit="1" customWidth="1"/>
  </cols>
  <sheetData>
    <row r="1" spans="1:15" ht="39.6">
      <c r="A1" s="100" t="s">
        <v>438</v>
      </c>
      <c r="B1" s="101" t="s">
        <v>75</v>
      </c>
      <c r="C1" s="101" t="s">
        <v>76</v>
      </c>
      <c r="D1" s="101" t="s">
        <v>77</v>
      </c>
      <c r="E1" s="101" t="s">
        <v>78</v>
      </c>
      <c r="F1" s="101" t="s">
        <v>79</v>
      </c>
      <c r="G1" s="101" t="s">
        <v>80</v>
      </c>
      <c r="H1" s="101" t="s">
        <v>81</v>
      </c>
      <c r="I1" s="101" t="s">
        <v>73</v>
      </c>
      <c r="J1" s="165" t="s">
        <v>74</v>
      </c>
    </row>
    <row r="2" spans="1:15">
      <c r="A2" s="102" t="s">
        <v>2097</v>
      </c>
      <c r="B2" s="103"/>
      <c r="C2" s="104"/>
      <c r="D2" s="104">
        <f>SUM(D3:D8)</f>
        <v>5377542</v>
      </c>
      <c r="E2" s="104">
        <f>SUM(E3:E8)</f>
        <v>10000</v>
      </c>
      <c r="F2" s="104">
        <f>SUM(F3:F8)</f>
        <v>4084833</v>
      </c>
      <c r="G2" s="104">
        <f>SUM(G3:G8)</f>
        <v>7596.0968784623183</v>
      </c>
      <c r="H2" s="104">
        <f>B2+D2-F2</f>
        <v>1292709</v>
      </c>
      <c r="I2" s="104">
        <f>C2+E2-G2</f>
        <v>2403.9031215376817</v>
      </c>
      <c r="K2" s="173" t="s">
        <v>462</v>
      </c>
      <c r="L2" t="s">
        <v>464</v>
      </c>
      <c r="M2" t="s">
        <v>469</v>
      </c>
      <c r="N2" t="s">
        <v>2079</v>
      </c>
      <c r="O2" t="s">
        <v>2078</v>
      </c>
    </row>
    <row r="3" spans="1:15">
      <c r="A3" s="105" t="s">
        <v>88</v>
      </c>
      <c r="B3" s="109"/>
      <c r="C3" s="112"/>
      <c r="D3" s="112">
        <f>+GETPIVOTDATA("Somme de Receved in XAF",$K$2,"Donor","ELONGA","Mois",7)</f>
        <v>5377542</v>
      </c>
      <c r="E3" s="218">
        <f>+GETPIVOTDATA("Somme de Receved  $",$K$2,"Donor","ELONGA","Mois",7)</f>
        <v>10000</v>
      </c>
      <c r="F3" s="217">
        <f>+GETPIVOTDATA("Somme de Spent  in XAF",$K$2,"Donor","ELONGA","Mois",7)</f>
        <v>4084833</v>
      </c>
      <c r="G3" s="218">
        <f>+GETPIVOTDATA("Somme de Spent in $",$K$2,"Donor","ELONGA","Mois",7)</f>
        <v>7596.0968784623183</v>
      </c>
      <c r="H3" s="112">
        <f>B2+D3-F3</f>
        <v>1292709</v>
      </c>
      <c r="I3" s="112">
        <f>C2+E3-G3</f>
        <v>2403.9031215376817</v>
      </c>
      <c r="J3" s="172"/>
      <c r="K3" s="149" t="s">
        <v>2098</v>
      </c>
      <c r="L3" s="327"/>
      <c r="M3" s="327">
        <v>0</v>
      </c>
      <c r="N3" s="327">
        <v>5000</v>
      </c>
      <c r="O3" s="327">
        <v>2664510</v>
      </c>
    </row>
    <row r="4" spans="1:15">
      <c r="A4" s="105" t="s">
        <v>89</v>
      </c>
      <c r="B4" s="109"/>
      <c r="C4" s="112"/>
      <c r="D4" s="112"/>
      <c r="E4" s="218"/>
      <c r="F4" s="217"/>
      <c r="G4" s="218"/>
      <c r="H4" s="112">
        <f>H3+D4-F4</f>
        <v>1292709</v>
      </c>
      <c r="I4" s="112">
        <f>I3+E4-G4</f>
        <v>2403.9031215376817</v>
      </c>
      <c r="K4" s="174" t="s">
        <v>2938</v>
      </c>
      <c r="L4" s="327"/>
      <c r="M4" s="327">
        <v>0</v>
      </c>
      <c r="N4" s="327">
        <v>5000</v>
      </c>
      <c r="O4" s="327">
        <v>2664510</v>
      </c>
    </row>
    <row r="5" spans="1:15">
      <c r="A5" s="108" t="s">
        <v>90</v>
      </c>
      <c r="B5" s="106"/>
      <c r="C5" s="106"/>
      <c r="D5" s="106"/>
      <c r="E5" s="106"/>
      <c r="F5" s="107"/>
      <c r="G5" s="106"/>
      <c r="H5" s="112">
        <f t="shared" ref="H5:H8" si="0">H4+D5-F5</f>
        <v>1292709</v>
      </c>
      <c r="I5" s="112">
        <f t="shared" ref="I5:I8" si="1">I4+E5-G5</f>
        <v>2403.9031215376817</v>
      </c>
      <c r="K5" s="149" t="s">
        <v>2312</v>
      </c>
      <c r="L5" s="327">
        <v>4084833</v>
      </c>
      <c r="M5" s="327">
        <v>7596.0968784623183</v>
      </c>
      <c r="N5" s="327">
        <v>10000</v>
      </c>
      <c r="O5" s="327">
        <v>5377542</v>
      </c>
    </row>
    <row r="6" spans="1:15">
      <c r="A6" s="105" t="s">
        <v>91</v>
      </c>
      <c r="B6" s="106"/>
      <c r="C6" s="106"/>
      <c r="D6" s="106"/>
      <c r="E6" s="106"/>
      <c r="F6" s="107"/>
      <c r="G6" s="106"/>
      <c r="H6" s="112">
        <f t="shared" si="0"/>
        <v>1292709</v>
      </c>
      <c r="I6" s="112">
        <f t="shared" si="1"/>
        <v>2403.9031215376817</v>
      </c>
      <c r="K6" s="174" t="s">
        <v>2319</v>
      </c>
      <c r="L6" s="327">
        <v>4084833</v>
      </c>
      <c r="M6" s="327">
        <v>7596.0968784623183</v>
      </c>
      <c r="N6" s="327">
        <v>10000</v>
      </c>
      <c r="O6" s="327">
        <v>5377542</v>
      </c>
    </row>
    <row r="7" spans="1:15">
      <c r="A7" s="105" t="s">
        <v>92</v>
      </c>
      <c r="B7" s="106"/>
      <c r="C7" s="106"/>
      <c r="D7" s="106"/>
      <c r="E7" s="106"/>
      <c r="F7" s="107"/>
      <c r="G7" s="106"/>
      <c r="H7" s="112">
        <f t="shared" si="0"/>
        <v>1292709</v>
      </c>
      <c r="I7" s="112">
        <f t="shared" si="1"/>
        <v>2403.9031215376817</v>
      </c>
      <c r="K7" s="149" t="s">
        <v>202</v>
      </c>
      <c r="L7" s="327">
        <v>38956819</v>
      </c>
      <c r="M7" s="327">
        <v>67675.982714933547</v>
      </c>
      <c r="N7" s="327">
        <v>30000</v>
      </c>
      <c r="O7" s="327">
        <v>17389380</v>
      </c>
    </row>
    <row r="8" spans="1:15">
      <c r="A8" s="105" t="s">
        <v>93</v>
      </c>
      <c r="B8" s="106"/>
      <c r="C8" s="106"/>
      <c r="D8" s="106"/>
      <c r="E8" s="106"/>
      <c r="F8" s="107"/>
      <c r="G8" s="106"/>
      <c r="H8" s="112">
        <f t="shared" si="0"/>
        <v>1292709</v>
      </c>
      <c r="I8" s="112">
        <f t="shared" si="1"/>
        <v>2403.9031215376817</v>
      </c>
      <c r="K8" s="174" t="s">
        <v>2313</v>
      </c>
      <c r="L8" s="327">
        <v>4559707</v>
      </c>
      <c r="M8" s="327">
        <v>7722.280285933226</v>
      </c>
      <c r="N8" s="327"/>
      <c r="O8" s="327"/>
    </row>
    <row r="9" spans="1:15">
      <c r="A9" s="132" t="s">
        <v>2098</v>
      </c>
      <c r="B9" s="103"/>
      <c r="C9" s="104"/>
      <c r="D9" s="104">
        <f>SUM(D10:D15)</f>
        <v>2664510</v>
      </c>
      <c r="E9" s="104">
        <f>SUM(E10:E15)</f>
        <v>5000</v>
      </c>
      <c r="F9" s="104">
        <f>SUM(F10:F15)</f>
        <v>0</v>
      </c>
      <c r="G9" s="104">
        <f>SUM(G10:G15)</f>
        <v>0</v>
      </c>
      <c r="H9" s="104">
        <f>B9+D9-F9</f>
        <v>2664510</v>
      </c>
      <c r="I9" s="104">
        <f>C9+E9-G9</f>
        <v>5000</v>
      </c>
      <c r="K9" s="174" t="s">
        <v>2314</v>
      </c>
      <c r="L9" s="327">
        <v>17852548</v>
      </c>
      <c r="M9" s="327">
        <v>30806.433646228274</v>
      </c>
      <c r="N9" s="327">
        <v>30000</v>
      </c>
      <c r="O9" s="327">
        <v>17389380</v>
      </c>
    </row>
    <row r="10" spans="1:15">
      <c r="A10" s="105" t="s">
        <v>88</v>
      </c>
      <c r="B10" s="106"/>
      <c r="C10" s="106"/>
      <c r="D10" s="106"/>
      <c r="E10" s="106"/>
      <c r="F10" s="107"/>
      <c r="G10" s="106"/>
      <c r="H10" s="112">
        <f>B9+D10-F10</f>
        <v>0</v>
      </c>
      <c r="I10" s="112">
        <f>C9+E10-G10</f>
        <v>0</v>
      </c>
      <c r="K10" s="174" t="s">
        <v>2315</v>
      </c>
      <c r="L10" s="327">
        <v>1171000</v>
      </c>
      <c r="M10" s="327">
        <v>2013.9213225330598</v>
      </c>
      <c r="N10" s="327"/>
      <c r="O10" s="327"/>
    </row>
    <row r="11" spans="1:15">
      <c r="A11" s="105" t="s">
        <v>89</v>
      </c>
      <c r="B11" s="106"/>
      <c r="C11" s="106"/>
      <c r="D11" s="106">
        <f>+GETPIVOTDATA("Somme de Receved in XAF",$K$2,"Donor","Dahan","Mois",8)</f>
        <v>2664510</v>
      </c>
      <c r="E11" s="106">
        <f>+GETPIVOTDATA("Somme de Receved  $",$K$2,"Donor","Dahan","Mois",8)</f>
        <v>5000</v>
      </c>
      <c r="F11" s="107"/>
      <c r="G11" s="106"/>
      <c r="H11" s="112">
        <f t="shared" ref="H11:H15" si="2">H10+D11-F11</f>
        <v>2664510</v>
      </c>
      <c r="I11" s="112">
        <f t="shared" ref="I11:I15" si="3">I10+E11-G11</f>
        <v>5000</v>
      </c>
      <c r="K11" s="174" t="s">
        <v>2316</v>
      </c>
      <c r="L11" s="327">
        <v>8553739</v>
      </c>
      <c r="M11" s="327">
        <v>14975.550104617092</v>
      </c>
      <c r="N11" s="327"/>
      <c r="O11" s="327"/>
    </row>
    <row r="12" spans="1:15">
      <c r="A12" s="108" t="s">
        <v>90</v>
      </c>
      <c r="B12" s="106"/>
      <c r="C12" s="106"/>
      <c r="D12" s="106"/>
      <c r="E12" s="106"/>
      <c r="F12" s="107"/>
      <c r="G12" s="106"/>
      <c r="H12" s="112">
        <f t="shared" si="2"/>
        <v>2664510</v>
      </c>
      <c r="I12" s="112">
        <f t="shared" si="3"/>
        <v>5000</v>
      </c>
      <c r="K12" s="174" t="s">
        <v>2317</v>
      </c>
      <c r="L12" s="327">
        <v>6819825</v>
      </c>
      <c r="M12" s="327">
        <v>12157.797355621908</v>
      </c>
      <c r="N12" s="327"/>
      <c r="O12" s="327"/>
    </row>
    <row r="13" spans="1:15">
      <c r="A13" s="105" t="s">
        <v>91</v>
      </c>
      <c r="B13" s="106"/>
      <c r="C13" s="106"/>
      <c r="D13" s="106"/>
      <c r="E13" s="106"/>
      <c r="F13" s="107"/>
      <c r="G13" s="106"/>
      <c r="H13" s="112">
        <f t="shared" si="2"/>
        <v>2664510</v>
      </c>
      <c r="I13" s="112">
        <f t="shared" si="3"/>
        <v>5000</v>
      </c>
      <c r="K13" s="149" t="s">
        <v>1132</v>
      </c>
      <c r="L13" s="327">
        <v>8233396</v>
      </c>
      <c r="M13" s="327">
        <v>14986.398740695251</v>
      </c>
      <c r="N13" s="327">
        <v>15000</v>
      </c>
      <c r="O13" s="327">
        <v>8240611</v>
      </c>
    </row>
    <row r="14" spans="1:15">
      <c r="A14" s="105" t="s">
        <v>92</v>
      </c>
      <c r="B14" s="106"/>
      <c r="C14" s="106"/>
      <c r="D14" s="106"/>
      <c r="E14" s="106"/>
      <c r="F14" s="107"/>
      <c r="G14" s="106"/>
      <c r="H14" s="112">
        <f t="shared" si="2"/>
        <v>2664510</v>
      </c>
      <c r="I14" s="112">
        <f t="shared" si="3"/>
        <v>5000</v>
      </c>
      <c r="K14" s="174" t="s">
        <v>2314</v>
      </c>
      <c r="L14" s="327">
        <v>2392885</v>
      </c>
      <c r="M14" s="327">
        <v>4128.1834084941502</v>
      </c>
      <c r="N14" s="327">
        <v>5000</v>
      </c>
      <c r="O14" s="327">
        <v>2898230</v>
      </c>
    </row>
    <row r="15" spans="1:15">
      <c r="A15" s="105" t="s">
        <v>93</v>
      </c>
      <c r="B15" s="106"/>
      <c r="C15" s="106"/>
      <c r="D15" s="106"/>
      <c r="E15" s="106"/>
      <c r="F15" s="107"/>
      <c r="G15" s="106"/>
      <c r="H15" s="112">
        <f t="shared" si="2"/>
        <v>2664510</v>
      </c>
      <c r="I15" s="112">
        <f t="shared" si="3"/>
        <v>5000</v>
      </c>
      <c r="J15" s="172">
        <f>844005/1375</f>
        <v>613.82181818181823</v>
      </c>
      <c r="K15" s="174" t="s">
        <v>2315</v>
      </c>
      <c r="L15" s="327">
        <v>506000</v>
      </c>
      <c r="M15" s="327">
        <v>872.94659154035401</v>
      </c>
      <c r="N15" s="327"/>
      <c r="O15" s="327"/>
    </row>
    <row r="16" spans="1:15">
      <c r="A16" s="102" t="s">
        <v>1506</v>
      </c>
      <c r="B16" s="103">
        <f>C16*J28</f>
        <v>0</v>
      </c>
      <c r="C16" s="104">
        <v>0</v>
      </c>
      <c r="D16" s="104">
        <f>SUM(D17:D28)</f>
        <v>45899172</v>
      </c>
      <c r="E16" s="104">
        <f>SUM(E17:E28)</f>
        <v>82000</v>
      </c>
      <c r="F16" s="104">
        <f>SUM(F17:F28)</f>
        <v>31107202</v>
      </c>
      <c r="G16" s="104">
        <f>SUM(G17:G28)</f>
        <v>54606.715981255882</v>
      </c>
      <c r="H16" s="104">
        <f>B16+D16-F16</f>
        <v>14791970</v>
      </c>
      <c r="I16" s="104">
        <f>C16+E16-G16</f>
        <v>27393.284018744118</v>
      </c>
      <c r="K16" s="174" t="s">
        <v>2319</v>
      </c>
      <c r="L16" s="327">
        <v>5334511</v>
      </c>
      <c r="M16" s="327">
        <v>9985.2687406607474</v>
      </c>
      <c r="N16" s="327">
        <v>10000</v>
      </c>
      <c r="O16" s="327">
        <v>5342381</v>
      </c>
    </row>
    <row r="17" spans="1:15">
      <c r="A17" s="113" t="s">
        <v>82</v>
      </c>
      <c r="B17" s="109"/>
      <c r="C17" s="110"/>
      <c r="D17" s="110"/>
      <c r="E17" s="109"/>
      <c r="F17" s="111"/>
      <c r="G17" s="109"/>
      <c r="H17" s="112">
        <f>B16+D17-F17</f>
        <v>0</v>
      </c>
      <c r="I17" s="112">
        <f>C16+E17-G17</f>
        <v>0</v>
      </c>
      <c r="K17" s="149" t="s">
        <v>439</v>
      </c>
      <c r="L17" s="327">
        <v>3055340</v>
      </c>
      <c r="M17" s="327">
        <v>4977.5684082904827</v>
      </c>
      <c r="N17" s="327"/>
      <c r="O17" s="327"/>
    </row>
    <row r="18" spans="1:15">
      <c r="A18" s="113" t="s">
        <v>83</v>
      </c>
      <c r="B18" s="109"/>
      <c r="C18" s="110"/>
      <c r="D18" s="110"/>
      <c r="E18" s="109"/>
      <c r="F18" s="111"/>
      <c r="G18" s="109"/>
      <c r="H18" s="112">
        <f>H17+D18-F18</f>
        <v>0</v>
      </c>
      <c r="I18" s="112">
        <f>I17+E18-G18</f>
        <v>0</v>
      </c>
      <c r="K18" s="174" t="s">
        <v>2313</v>
      </c>
      <c r="L18" s="327">
        <v>3055340</v>
      </c>
      <c r="M18" s="327">
        <v>4977.5684082904827</v>
      </c>
      <c r="N18" s="327"/>
      <c r="O18" s="327"/>
    </row>
    <row r="19" spans="1:15">
      <c r="A19" s="114" t="s">
        <v>84</v>
      </c>
      <c r="B19" s="106"/>
      <c r="C19" s="106"/>
      <c r="D19" s="106"/>
      <c r="E19" s="106"/>
      <c r="F19" s="107"/>
      <c r="G19" s="106"/>
      <c r="H19" s="112">
        <f t="shared" ref="H19:H28" si="4">H18+D19-F19</f>
        <v>0</v>
      </c>
      <c r="I19" s="112">
        <f t="shared" ref="I19:I28" si="5">I18+E19-G19</f>
        <v>0</v>
      </c>
      <c r="K19" s="149" t="s">
        <v>1131</v>
      </c>
      <c r="L19" s="327">
        <v>2107400</v>
      </c>
      <c r="M19" s="327">
        <v>3635.6672865852611</v>
      </c>
      <c r="N19" s="327"/>
      <c r="O19" s="327"/>
    </row>
    <row r="20" spans="1:15">
      <c r="A20" s="113" t="s">
        <v>85</v>
      </c>
      <c r="B20" s="106"/>
      <c r="C20" s="106"/>
      <c r="D20" s="106">
        <f>+GETPIVOTDATA("Somme de Receved in XAF",$K$2,"Donor","Wildcat 2025","Mois",4)</f>
        <v>17487258</v>
      </c>
      <c r="E20" s="106">
        <f>+GETPIVOTDATA("Somme de Receved  $",$K$2,"Donor","Wildcat 2025","Mois",4)</f>
        <v>30000</v>
      </c>
      <c r="F20" s="107">
        <f>+GETPIVOTDATA("Somme de Spent  in XAF",$K$2,"Donor","Wildcat 2025","Mois",4)</f>
        <v>12009908</v>
      </c>
      <c r="G20" s="106">
        <f>+GETPIVOTDATA("Somme de Spent in $",$K$2,"Donor","Wildcat 2025","Mois",4)</f>
        <v>20603.401216999559</v>
      </c>
      <c r="H20" s="112">
        <f t="shared" si="4"/>
        <v>5477350</v>
      </c>
      <c r="I20" s="112">
        <f t="shared" si="5"/>
        <v>9396.5987830004415</v>
      </c>
      <c r="K20" s="174" t="s">
        <v>2314</v>
      </c>
      <c r="L20" s="327">
        <v>2107400</v>
      </c>
      <c r="M20" s="327">
        <v>3635.6672865852611</v>
      </c>
      <c r="N20" s="327"/>
      <c r="O20" s="327"/>
    </row>
    <row r="21" spans="1:15">
      <c r="A21" s="114" t="s">
        <v>86</v>
      </c>
      <c r="B21" s="106"/>
      <c r="C21" s="106"/>
      <c r="D21" s="106">
        <f>+GETPIVOTDATA("Somme de Receved in XAF",$K$2,"Donor","Wildcat 2025","Mois",5)</f>
        <v>14023562</v>
      </c>
      <c r="E21" s="106">
        <f>+GETPIVOTDATA("Somme de Receved  $",$K$2,"Donor","Wildcat 2025","Mois",5)</f>
        <v>25000</v>
      </c>
      <c r="F21" s="107">
        <f>+GETPIVOTDATA("Somme de Spent  in XAF",$K$2,"Donor","Wildcat 2025","Mois",5)</f>
        <v>3911880</v>
      </c>
      <c r="G21" s="106">
        <f>+GETPIVOTDATA("Somme de Spent in $",$K$2,"Donor","Wildcat 2025","Mois",5)</f>
        <v>6936.5039158833861</v>
      </c>
      <c r="H21" s="112">
        <f t="shared" si="4"/>
        <v>15589032</v>
      </c>
      <c r="I21" s="112">
        <f t="shared" si="5"/>
        <v>27460.094867117059</v>
      </c>
      <c r="K21" s="149" t="s">
        <v>1901</v>
      </c>
      <c r="L21" s="327">
        <v>13654604</v>
      </c>
      <c r="M21" s="327">
        <v>23208.427443302349</v>
      </c>
      <c r="N21" s="327">
        <v>30000</v>
      </c>
      <c r="O21" s="327">
        <v>17885797</v>
      </c>
    </row>
    <row r="22" spans="1:15">
      <c r="A22" s="105" t="s">
        <v>87</v>
      </c>
      <c r="B22" s="106"/>
      <c r="C22" s="106"/>
      <c r="D22" s="106"/>
      <c r="E22" s="106"/>
      <c r="F22" s="107">
        <f>+GETPIVOTDATA("Somme de Spent  in XAF",$K$2,"Donor","Wildcat 2025","Mois",6)</f>
        <v>1782188</v>
      </c>
      <c r="G22" s="106">
        <f>+GETPIVOTDATA("Somme de Spent in $",$K$2,"Donor","Wildcat 2025","Mois",6)</f>
        <v>3177.1314591827681</v>
      </c>
      <c r="H22" s="112">
        <f t="shared" si="4"/>
        <v>13806844</v>
      </c>
      <c r="I22" s="112">
        <f t="shared" si="5"/>
        <v>24282.96340793429</v>
      </c>
      <c r="K22" s="174" t="s">
        <v>2318</v>
      </c>
      <c r="L22" s="327">
        <v>12832742</v>
      </c>
      <c r="M22" s="327">
        <v>21829.91075491453</v>
      </c>
      <c r="N22" s="327">
        <v>30000</v>
      </c>
      <c r="O22" s="327">
        <v>17885797</v>
      </c>
    </row>
    <row r="23" spans="1:15">
      <c r="A23" s="105" t="s">
        <v>88</v>
      </c>
      <c r="B23" s="106"/>
      <c r="C23" s="106"/>
      <c r="D23" s="106"/>
      <c r="E23" s="106"/>
      <c r="F23" s="107">
        <f>+GETPIVOTDATA("Somme de Spent  in XAF",$K$2,"Donor","Wildcat 2025","Mois",7)</f>
        <v>1710955</v>
      </c>
      <c r="G23" s="106">
        <f>+GETPIVOTDATA("Somme de Spent in $",$K$2,"Donor","Wildcat 2025","Mois",7)</f>
        <v>3050.1433943815391</v>
      </c>
      <c r="H23" s="112">
        <f t="shared" si="4"/>
        <v>12095889</v>
      </c>
      <c r="I23" s="112">
        <f t="shared" si="5"/>
        <v>21232.820013552751</v>
      </c>
      <c r="K23" s="174" t="s">
        <v>2313</v>
      </c>
      <c r="L23" s="327">
        <v>821862</v>
      </c>
      <c r="M23" s="327">
        <v>1378.5166883878207</v>
      </c>
      <c r="N23" s="327"/>
      <c r="O23" s="327"/>
    </row>
    <row r="24" spans="1:15">
      <c r="A24" s="105" t="s">
        <v>89</v>
      </c>
      <c r="B24" s="106"/>
      <c r="C24" s="106"/>
      <c r="D24" s="106">
        <f>+GETPIVOTDATA("Somme de Receved in XAF",$K$2,"Donor","Wildcat 2025","Mois",8)</f>
        <v>14388352</v>
      </c>
      <c r="E24" s="106">
        <f>+GETPIVOTDATA("Somme de Receved  $",$K$2,"Donor","Wildcat 2025","Mois",8)</f>
        <v>27000</v>
      </c>
      <c r="F24" s="107">
        <f>+GETPIVOTDATA("Somme de Spent  in XAF",$K$2,"Donor","Wildcat 2025","Mois",8)</f>
        <v>11692271</v>
      </c>
      <c r="G24" s="106">
        <f>+GETPIVOTDATA("Somme de Spent in $",$K$2,"Donor","Wildcat 2025","Mois",8)</f>
        <v>20839.535994808626</v>
      </c>
      <c r="H24" s="112">
        <f t="shared" si="4"/>
        <v>14791970</v>
      </c>
      <c r="I24" s="112">
        <f t="shared" si="5"/>
        <v>27393.284018744125</v>
      </c>
      <c r="K24" s="149" t="s">
        <v>1902</v>
      </c>
      <c r="L24" s="327">
        <v>31107202</v>
      </c>
      <c r="M24" s="327">
        <v>54606.715981255882</v>
      </c>
      <c r="N24" s="327">
        <v>82000</v>
      </c>
      <c r="O24" s="327">
        <v>45899172</v>
      </c>
    </row>
    <row r="25" spans="1:15">
      <c r="A25" s="108" t="s">
        <v>90</v>
      </c>
      <c r="B25" s="106"/>
      <c r="C25" s="106"/>
      <c r="D25" s="106"/>
      <c r="E25" s="106"/>
      <c r="F25" s="107"/>
      <c r="G25" s="106"/>
      <c r="H25" s="112">
        <f t="shared" si="4"/>
        <v>14791970</v>
      </c>
      <c r="I25" s="112">
        <f t="shared" si="5"/>
        <v>27393.284018744125</v>
      </c>
      <c r="K25" s="174" t="s">
        <v>2315</v>
      </c>
      <c r="L25" s="327">
        <v>12009908</v>
      </c>
      <c r="M25" s="327">
        <v>20603.401216999559</v>
      </c>
      <c r="N25" s="327">
        <v>30000</v>
      </c>
      <c r="O25" s="327">
        <v>17487258</v>
      </c>
    </row>
    <row r="26" spans="1:15">
      <c r="A26" s="105" t="s">
        <v>91</v>
      </c>
      <c r="B26" s="106"/>
      <c r="C26" s="106"/>
      <c r="D26" s="106"/>
      <c r="E26" s="106"/>
      <c r="F26" s="107"/>
      <c r="G26" s="106"/>
      <c r="H26" s="112">
        <f t="shared" si="4"/>
        <v>14791970</v>
      </c>
      <c r="I26" s="112">
        <f t="shared" si="5"/>
        <v>27393.284018744125</v>
      </c>
      <c r="K26" s="174" t="s">
        <v>2316</v>
      </c>
      <c r="L26" s="327">
        <v>3911880</v>
      </c>
      <c r="M26" s="327">
        <v>6936.5039158833861</v>
      </c>
      <c r="N26" s="327">
        <v>25000</v>
      </c>
      <c r="O26" s="327">
        <v>14023562</v>
      </c>
    </row>
    <row r="27" spans="1:15">
      <c r="A27" s="105" t="s">
        <v>92</v>
      </c>
      <c r="B27" s="106"/>
      <c r="C27" s="106"/>
      <c r="D27" s="106"/>
      <c r="E27" s="106"/>
      <c r="F27" s="107"/>
      <c r="G27" s="106"/>
      <c r="H27" s="112">
        <f t="shared" si="4"/>
        <v>14791970</v>
      </c>
      <c r="I27" s="112">
        <f t="shared" si="5"/>
        <v>27393.284018744125</v>
      </c>
      <c r="K27" s="174" t="s">
        <v>2317</v>
      </c>
      <c r="L27" s="327">
        <v>1782188</v>
      </c>
      <c r="M27" s="327">
        <v>3177.1314591827681</v>
      </c>
      <c r="N27" s="327"/>
      <c r="O27" s="327"/>
    </row>
    <row r="28" spans="1:15">
      <c r="A28" s="115" t="s">
        <v>93</v>
      </c>
      <c r="B28" s="116"/>
      <c r="C28" s="116"/>
      <c r="D28" s="116"/>
      <c r="E28" s="116"/>
      <c r="F28" s="117"/>
      <c r="G28" s="116"/>
      <c r="H28" s="112">
        <f t="shared" si="4"/>
        <v>14791970</v>
      </c>
      <c r="I28" s="112">
        <f t="shared" si="5"/>
        <v>27393.284018744125</v>
      </c>
      <c r="J28" s="172"/>
      <c r="K28" s="174" t="s">
        <v>2319</v>
      </c>
      <c r="L28" s="327">
        <v>1710955</v>
      </c>
      <c r="M28" s="327">
        <v>3050.1433943815391</v>
      </c>
      <c r="N28" s="327"/>
      <c r="O28" s="327"/>
    </row>
    <row r="29" spans="1:15">
      <c r="A29" s="102" t="s">
        <v>1132</v>
      </c>
      <c r="B29" s="103">
        <v>0</v>
      </c>
      <c r="C29" s="104">
        <v>0</v>
      </c>
      <c r="D29" s="104">
        <f>SUM(D30:D41)</f>
        <v>8240611</v>
      </c>
      <c r="E29" s="104">
        <f>SUM(E30:E41)</f>
        <v>15000</v>
      </c>
      <c r="F29" s="104">
        <f>SUM(F30:F41)</f>
        <v>8233396</v>
      </c>
      <c r="G29" s="104">
        <f>SUM(G30:G41)</f>
        <v>14986.398740695251</v>
      </c>
      <c r="H29" s="104">
        <f>B29+D29-F29</f>
        <v>7215</v>
      </c>
      <c r="I29" s="104">
        <f>C29+E29-G29</f>
        <v>13.601259304748964</v>
      </c>
      <c r="K29" s="174" t="s">
        <v>2938</v>
      </c>
      <c r="L29" s="327">
        <v>11692271</v>
      </c>
      <c r="M29" s="327">
        <v>20839.535994808626</v>
      </c>
      <c r="N29" s="327">
        <v>27000</v>
      </c>
      <c r="O29" s="327">
        <v>14388352</v>
      </c>
    </row>
    <row r="30" spans="1:15">
      <c r="A30" s="113" t="s">
        <v>82</v>
      </c>
      <c r="B30" s="109"/>
      <c r="C30" s="110"/>
      <c r="D30" s="110"/>
      <c r="E30" s="109"/>
      <c r="F30" s="111"/>
      <c r="G30" s="109"/>
      <c r="H30" s="112">
        <f>B29+D30-F30</f>
        <v>0</v>
      </c>
      <c r="I30" s="112">
        <f>C29+E30-G30</f>
        <v>0</v>
      </c>
      <c r="K30" s="149" t="s">
        <v>463</v>
      </c>
      <c r="L30" s="327">
        <v>101199594</v>
      </c>
      <c r="M30" s="327">
        <v>176686.8574535251</v>
      </c>
      <c r="N30" s="327">
        <v>172000</v>
      </c>
      <c r="O30" s="327">
        <v>97457012</v>
      </c>
    </row>
    <row r="31" spans="1:15">
      <c r="A31" s="113" t="s">
        <v>83</v>
      </c>
      <c r="B31" s="109"/>
      <c r="C31" s="110"/>
      <c r="D31" s="110"/>
      <c r="E31" s="109"/>
      <c r="F31" s="111"/>
      <c r="G31" s="109"/>
      <c r="H31" s="112">
        <f>H30+D31-F31</f>
        <v>0</v>
      </c>
      <c r="I31" s="112">
        <f>I30+E31-G31</f>
        <v>0</v>
      </c>
    </row>
    <row r="32" spans="1:15">
      <c r="A32" s="114" t="s">
        <v>84</v>
      </c>
      <c r="B32" s="106"/>
      <c r="C32" s="106"/>
      <c r="D32" s="106">
        <f>+GETPIVOTDATA("Somme de Receved in XAF",$K$2,"Donor","OAT","Mois",3)</f>
        <v>2898230</v>
      </c>
      <c r="E32" s="106">
        <f>+GETPIVOTDATA("Somme de Receved  $",$K$2,"Donor","OAT","Mois",3)</f>
        <v>5000</v>
      </c>
      <c r="F32" s="107">
        <f>+GETPIVOTDATA("Somme de Spent  in XAF",$K$2,"Donor","OAT","Mois",3)</f>
        <v>2392885</v>
      </c>
      <c r="G32" s="106">
        <f>+GETPIVOTDATA("Somme de Spent in $",$K$2,"Donor","OAT","Mois",3)</f>
        <v>4128.1834084941502</v>
      </c>
      <c r="H32" s="112">
        <f t="shared" ref="H32:H41" si="6">H31+D32-F32</f>
        <v>505345</v>
      </c>
      <c r="I32" s="112">
        <f t="shared" ref="I32:I41" si="7">I31+E32-G32</f>
        <v>871.81659150584983</v>
      </c>
      <c r="J32" s="166">
        <f>+D20/E20</f>
        <v>582.90859999999998</v>
      </c>
    </row>
    <row r="33" spans="1:10">
      <c r="A33" s="113" t="s">
        <v>85</v>
      </c>
      <c r="B33" s="106"/>
      <c r="C33" s="106"/>
      <c r="D33" s="106"/>
      <c r="E33" s="106"/>
      <c r="F33" s="107">
        <f>+GETPIVOTDATA("Somme de Spent  in XAF",$K$2,"Donor","OAT","Mois",4)</f>
        <v>506000</v>
      </c>
      <c r="G33" s="106">
        <f>+GETPIVOTDATA("Somme de Spent in $",$K$2,"Donor","OAT","Mois",4)</f>
        <v>872.94659154035401</v>
      </c>
      <c r="H33" s="112">
        <f t="shared" si="6"/>
        <v>-655</v>
      </c>
      <c r="I33" s="112">
        <f t="shared" si="7"/>
        <v>-1.1300000345041781</v>
      </c>
      <c r="J33" s="166">
        <f>D21/E21</f>
        <v>560.94248000000005</v>
      </c>
    </row>
    <row r="34" spans="1:10">
      <c r="A34" s="114" t="s">
        <v>86</v>
      </c>
      <c r="B34" s="106"/>
      <c r="C34" s="106"/>
      <c r="D34" s="106"/>
      <c r="E34" s="106"/>
      <c r="F34" s="107"/>
      <c r="G34" s="106"/>
      <c r="H34" s="112">
        <f t="shared" si="6"/>
        <v>-655</v>
      </c>
      <c r="I34" s="112">
        <f t="shared" si="7"/>
        <v>-1.1300000345041781</v>
      </c>
    </row>
    <row r="35" spans="1:10">
      <c r="A35" s="105" t="s">
        <v>87</v>
      </c>
      <c r="B35" s="106"/>
      <c r="C35" s="106"/>
      <c r="D35" s="106"/>
      <c r="E35" s="106"/>
      <c r="F35" s="107"/>
      <c r="G35" s="106"/>
      <c r="H35" s="112">
        <f t="shared" si="6"/>
        <v>-655</v>
      </c>
      <c r="I35" s="112">
        <f t="shared" si="7"/>
        <v>-1.1300000345041781</v>
      </c>
    </row>
    <row r="36" spans="1:10">
      <c r="A36" s="105" t="s">
        <v>88</v>
      </c>
      <c r="B36" s="106"/>
      <c r="C36" s="106"/>
      <c r="D36" s="106">
        <f>+GETPIVOTDATA("Somme de Receved in XAF",$K$2,"Donor","OAT","Mois",7)</f>
        <v>5342381</v>
      </c>
      <c r="E36" s="106">
        <f>+GETPIVOTDATA("Somme de Receved  $",$K$2,"Donor","OAT","Mois",7)</f>
        <v>10000</v>
      </c>
      <c r="F36" s="107">
        <f>+GETPIVOTDATA("Somme de Spent  in XAF",$K$2,"Donor","OAT","Mois",7)</f>
        <v>5334511</v>
      </c>
      <c r="G36" s="106">
        <f>+GETPIVOTDATA("Somme de Spent in $",$K$2,"Donor","OAT","Mois",7)</f>
        <v>9985.2687406607474</v>
      </c>
      <c r="H36" s="112">
        <f t="shared" si="6"/>
        <v>7215</v>
      </c>
      <c r="I36" s="112">
        <f t="shared" si="7"/>
        <v>13.601259304748964</v>
      </c>
      <c r="J36" s="166">
        <f>D36/E36</f>
        <v>534.23810000000003</v>
      </c>
    </row>
    <row r="37" spans="1:10">
      <c r="A37" s="105" t="s">
        <v>89</v>
      </c>
      <c r="B37" s="106"/>
      <c r="C37" s="106"/>
      <c r="D37" s="106"/>
      <c r="E37" s="106"/>
      <c r="F37" s="107"/>
      <c r="G37" s="106"/>
      <c r="H37" s="112">
        <f t="shared" si="6"/>
        <v>7215</v>
      </c>
      <c r="I37" s="112">
        <f t="shared" si="7"/>
        <v>13.601259304748964</v>
      </c>
    </row>
    <row r="38" spans="1:10">
      <c r="A38" s="108" t="s">
        <v>90</v>
      </c>
      <c r="B38" s="106"/>
      <c r="C38" s="106"/>
      <c r="D38" s="106"/>
      <c r="E38" s="106"/>
      <c r="F38" s="107"/>
      <c r="G38" s="106"/>
      <c r="H38" s="112">
        <f t="shared" si="6"/>
        <v>7215</v>
      </c>
      <c r="I38" s="112">
        <f t="shared" si="7"/>
        <v>13.601259304748964</v>
      </c>
    </row>
    <row r="39" spans="1:10">
      <c r="A39" s="105" t="s">
        <v>91</v>
      </c>
      <c r="B39" s="106"/>
      <c r="C39" s="106"/>
      <c r="D39" s="106"/>
      <c r="E39" s="106"/>
      <c r="F39" s="107"/>
      <c r="G39" s="106"/>
      <c r="H39" s="112">
        <f t="shared" si="6"/>
        <v>7215</v>
      </c>
      <c r="I39" s="112">
        <f t="shared" si="7"/>
        <v>13.601259304748964</v>
      </c>
    </row>
    <row r="40" spans="1:10">
      <c r="A40" s="105" t="s">
        <v>92</v>
      </c>
      <c r="B40" s="106"/>
      <c r="C40" s="106"/>
      <c r="D40" s="106"/>
      <c r="E40" s="106"/>
      <c r="F40" s="107"/>
      <c r="G40" s="106"/>
      <c r="H40" s="112">
        <f t="shared" si="6"/>
        <v>7215</v>
      </c>
      <c r="I40" s="112">
        <f t="shared" si="7"/>
        <v>13.601259304748964</v>
      </c>
    </row>
    <row r="41" spans="1:10">
      <c r="A41" s="115" t="s">
        <v>93</v>
      </c>
      <c r="B41" s="116"/>
      <c r="C41" s="116"/>
      <c r="D41" s="116"/>
      <c r="E41" s="116"/>
      <c r="F41" s="117"/>
      <c r="G41" s="116"/>
      <c r="H41" s="112">
        <f t="shared" si="6"/>
        <v>7215</v>
      </c>
      <c r="I41" s="112">
        <f t="shared" si="7"/>
        <v>13.601259304748964</v>
      </c>
    </row>
    <row r="42" spans="1:10">
      <c r="A42" s="102"/>
      <c r="B42" s="103"/>
      <c r="C42" s="104"/>
      <c r="D42" s="104">
        <f>SUM(D43:D54)</f>
        <v>0</v>
      </c>
      <c r="E42" s="104">
        <f>SUM(E43:E54)</f>
        <v>0</v>
      </c>
      <c r="F42" s="104">
        <f>SUM(F43:F54)</f>
        <v>0</v>
      </c>
      <c r="G42" s="104">
        <f>SUM(G43:G54)</f>
        <v>0</v>
      </c>
      <c r="H42" s="104">
        <f>B42+D42-F42</f>
        <v>0</v>
      </c>
      <c r="I42" s="104">
        <f>C42+E42-G42</f>
        <v>0</v>
      </c>
    </row>
    <row r="43" spans="1:10">
      <c r="A43" s="113" t="s">
        <v>82</v>
      </c>
      <c r="B43" s="109"/>
      <c r="C43" s="110"/>
      <c r="D43" s="110"/>
      <c r="E43" s="109"/>
      <c r="F43" s="111"/>
      <c r="G43" s="109"/>
      <c r="H43" s="112"/>
      <c r="I43" s="112"/>
    </row>
    <row r="44" spans="1:10">
      <c r="A44" s="113" t="s">
        <v>83</v>
      </c>
      <c r="B44" s="109"/>
      <c r="C44" s="110"/>
      <c r="D44" s="110"/>
      <c r="E44" s="109"/>
      <c r="F44" s="217"/>
      <c r="G44" s="218"/>
      <c r="H44" s="112"/>
      <c r="I44" s="112"/>
    </row>
    <row r="45" spans="1:10">
      <c r="A45" s="114" t="s">
        <v>84</v>
      </c>
      <c r="B45" s="106"/>
      <c r="C45" s="106"/>
      <c r="D45" s="106"/>
      <c r="E45" s="106"/>
      <c r="F45" s="217"/>
      <c r="G45" s="106"/>
      <c r="H45" s="112"/>
      <c r="I45" s="112"/>
    </row>
    <row r="46" spans="1:10">
      <c r="A46" s="113" t="s">
        <v>85</v>
      </c>
      <c r="B46" s="106"/>
      <c r="C46" s="106"/>
      <c r="D46" s="106"/>
      <c r="E46" s="106"/>
      <c r="F46" s="217"/>
      <c r="G46" s="106"/>
      <c r="H46" s="112"/>
      <c r="I46" s="112"/>
    </row>
    <row r="47" spans="1:10">
      <c r="A47" s="114" t="s">
        <v>86</v>
      </c>
      <c r="B47" s="106"/>
      <c r="C47" s="106"/>
      <c r="D47" s="106"/>
      <c r="E47" s="106"/>
      <c r="F47" s="107"/>
      <c r="G47" s="106"/>
      <c r="H47" s="112"/>
      <c r="I47" s="112"/>
    </row>
    <row r="48" spans="1:10">
      <c r="A48" s="105" t="s">
        <v>87</v>
      </c>
      <c r="B48" s="106"/>
      <c r="C48" s="106"/>
      <c r="D48" s="106"/>
      <c r="E48" s="106"/>
      <c r="F48" s="107"/>
      <c r="G48" s="106"/>
      <c r="H48" s="112"/>
      <c r="I48" s="112"/>
    </row>
    <row r="49" spans="1:10">
      <c r="A49" s="105" t="s">
        <v>88</v>
      </c>
      <c r="B49" s="106"/>
      <c r="C49" s="106"/>
      <c r="D49" s="106"/>
      <c r="E49" s="106"/>
      <c r="F49" s="107"/>
      <c r="G49" s="106"/>
      <c r="H49" s="112"/>
      <c r="I49" s="112"/>
    </row>
    <row r="50" spans="1:10">
      <c r="A50" s="105" t="s">
        <v>89</v>
      </c>
      <c r="B50" s="106"/>
      <c r="C50" s="106"/>
      <c r="D50" s="106"/>
      <c r="E50" s="106"/>
      <c r="F50" s="107"/>
      <c r="G50" s="106"/>
      <c r="H50" s="112"/>
      <c r="I50" s="112"/>
    </row>
    <row r="51" spans="1:10">
      <c r="A51" s="108" t="s">
        <v>90</v>
      </c>
      <c r="B51" s="106"/>
      <c r="C51" s="106"/>
      <c r="D51" s="106"/>
      <c r="E51" s="106"/>
      <c r="F51" s="107"/>
      <c r="G51" s="106"/>
      <c r="H51" s="112"/>
      <c r="I51" s="112"/>
    </row>
    <row r="52" spans="1:10">
      <c r="A52" s="105" t="s">
        <v>91</v>
      </c>
      <c r="B52" s="106"/>
      <c r="C52" s="106"/>
      <c r="D52" s="106"/>
      <c r="E52" s="106"/>
      <c r="F52" s="107"/>
      <c r="G52" s="106"/>
      <c r="H52" s="112"/>
      <c r="I52" s="112"/>
    </row>
    <row r="53" spans="1:10">
      <c r="A53" s="105" t="s">
        <v>92</v>
      </c>
      <c r="B53" s="106"/>
      <c r="C53" s="106"/>
      <c r="D53" s="106"/>
      <c r="E53" s="106"/>
      <c r="F53" s="107"/>
      <c r="G53" s="106"/>
      <c r="H53" s="112"/>
      <c r="I53" s="112"/>
    </row>
    <row r="54" spans="1:10">
      <c r="A54" s="115" t="s">
        <v>93</v>
      </c>
      <c r="B54" s="116"/>
      <c r="C54" s="116"/>
      <c r="D54" s="116"/>
      <c r="E54" s="116"/>
      <c r="F54" s="117"/>
      <c r="G54" s="116"/>
      <c r="H54" s="112"/>
      <c r="I54" s="112"/>
      <c r="J54" s="166">
        <f>D32/E32</f>
        <v>579.64599999999996</v>
      </c>
    </row>
    <row r="55" spans="1:10" ht="26.4">
      <c r="A55" s="303" t="s">
        <v>2096</v>
      </c>
      <c r="B55" s="304">
        <v>-5950675.7000000002</v>
      </c>
      <c r="C55" s="304">
        <v>-10017.969999999999</v>
      </c>
      <c r="D55" s="304"/>
      <c r="E55" s="305"/>
      <c r="F55" s="304"/>
      <c r="G55" s="306"/>
      <c r="H55" s="304">
        <f>+B55</f>
        <v>-5950675.7000000002</v>
      </c>
      <c r="I55" s="305">
        <f>+C55</f>
        <v>-10017.969999999999</v>
      </c>
    </row>
    <row r="56" spans="1:10">
      <c r="A56" s="303" t="s">
        <v>1901</v>
      </c>
      <c r="B56" s="304">
        <v>-1211363.3</v>
      </c>
      <c r="C56" s="305">
        <v>-2031.83</v>
      </c>
      <c r="D56" s="304">
        <f>+GETPIVOTDATA("Somme de Receved in XAF",$K$2,"Donor","Wildcat 2024","Mois",1)</f>
        <v>17885797</v>
      </c>
      <c r="E56" s="305">
        <f>+GETPIVOTDATA("Somme de Receved  $",$K$2,"Donor","Wildcat 2024","Mois",1)</f>
        <v>30000</v>
      </c>
      <c r="F56" s="304">
        <f>+GETPIVOTDATA("Somme de Spent  in XAF",$K$2,"Donor","Wildcat 2024")</f>
        <v>13654604</v>
      </c>
      <c r="G56" s="306">
        <f>+GETPIVOTDATA("Somme de Spent in $",$K$2,"Donor","Wildcat 2024")</f>
        <v>23208.427443302349</v>
      </c>
      <c r="H56" s="304">
        <f>B56+D56-F56</f>
        <v>3019829.6999999993</v>
      </c>
      <c r="I56" s="305">
        <f>C56+E56-G56</f>
        <v>4759.742556697649</v>
      </c>
    </row>
    <row r="57" spans="1:10">
      <c r="A57" s="303" t="s">
        <v>1131</v>
      </c>
      <c r="B57" s="304">
        <v>2107400</v>
      </c>
      <c r="C57" s="305">
        <v>0</v>
      </c>
      <c r="D57" s="304">
        <v>0</v>
      </c>
      <c r="E57" s="305">
        <v>0</v>
      </c>
      <c r="F57" s="304">
        <f>+GETPIVOTDATA("Somme de Spent  in XAF",$K$2,"Donor","UE")</f>
        <v>2107400</v>
      </c>
      <c r="G57" s="306">
        <v>0</v>
      </c>
      <c r="H57" s="304">
        <f>B57+D57-F57</f>
        <v>0</v>
      </c>
      <c r="I57" s="305">
        <v>0</v>
      </c>
      <c r="J57" s="166">
        <f>D32/E32</f>
        <v>579.64599999999996</v>
      </c>
    </row>
    <row r="58" spans="1:10">
      <c r="A58" s="303" t="s">
        <v>439</v>
      </c>
      <c r="B58" s="304">
        <v>3069109.09</v>
      </c>
      <c r="C58" s="305">
        <v>5000</v>
      </c>
      <c r="D58" s="304">
        <v>0</v>
      </c>
      <c r="E58" s="305">
        <v>0</v>
      </c>
      <c r="F58" s="304">
        <f>+GETPIVOTDATA("Somme de Spent  in XAF",$K$2,"Donor","Rufford")</f>
        <v>3055340</v>
      </c>
      <c r="G58" s="306">
        <f>+GETPIVOTDATA("Somme de Spent in $",$K$2,"Donor","Rufford")</f>
        <v>4977.5684082904827</v>
      </c>
      <c r="H58" s="304">
        <f>B58+D58-F58</f>
        <v>13769.089999999851</v>
      </c>
      <c r="I58" s="305">
        <f>C58+E58-G58</f>
        <v>22.431591709517306</v>
      </c>
    </row>
    <row r="59" spans="1:10">
      <c r="A59" s="303" t="s">
        <v>202</v>
      </c>
      <c r="B59" s="304">
        <v>13324442.9</v>
      </c>
      <c r="C59" s="304">
        <v>23002.880000000001</v>
      </c>
      <c r="D59" s="304">
        <f>+GETPIVOTDATA("Somme de Receved in XAF",$K$2,"Donor","OAK")</f>
        <v>17389380</v>
      </c>
      <c r="E59" s="305">
        <f>+GETPIVOTDATA("Somme de Receved  $",$K$2,"Donor","OAK")</f>
        <v>30000</v>
      </c>
      <c r="F59" s="304">
        <f>+GETPIVOTDATA("Somme de Spent  in XAF",$K$2,"Donor","OAK")</f>
        <v>38956819</v>
      </c>
      <c r="G59" s="306">
        <f>+GETPIVOTDATA("Somme de Spent in $",$K$2,"Donor","OAK")</f>
        <v>67675.982714933547</v>
      </c>
      <c r="H59" s="304">
        <f>B59+D59-F59</f>
        <v>-8242996.1000000015</v>
      </c>
      <c r="I59" s="305">
        <f>C59+E59-G59</f>
        <v>-14673.102714933542</v>
      </c>
    </row>
    <row r="60" spans="1:10" ht="14.4" thickBot="1">
      <c r="A60" s="302" t="s">
        <v>94</v>
      </c>
      <c r="B60" s="103">
        <f>B2+B9+B29+B42+B55+B16+B56+B57+B58+B59</f>
        <v>11338912.99</v>
      </c>
      <c r="C60" s="103">
        <f t="shared" ref="C60:I60" si="8">C2+C9+C29+C42+C55+C16+C56+C57+C58+C59</f>
        <v>15953.080000000002</v>
      </c>
      <c r="D60" s="103">
        <f t="shared" si="8"/>
        <v>97457012</v>
      </c>
      <c r="E60" s="103">
        <f t="shared" si="8"/>
        <v>172000</v>
      </c>
      <c r="F60" s="103">
        <f t="shared" si="8"/>
        <v>101199594</v>
      </c>
      <c r="G60" s="103">
        <f>G2+G9+G29+G42+G55+G16+G56+G57+G58+G59</f>
        <v>173051.19016693984</v>
      </c>
      <c r="H60" s="103">
        <f>H2+H9+H29+H42+H55+H16+H56+H57+H58+H59</f>
        <v>7596330.9899999984</v>
      </c>
      <c r="I60" s="103">
        <f t="shared" si="8"/>
        <v>14901.889833060173</v>
      </c>
    </row>
    <row r="62" spans="1:10">
      <c r="A62" s="160"/>
      <c r="B62" s="160">
        <v>11338913</v>
      </c>
      <c r="C62" s="160"/>
      <c r="D62" s="160"/>
      <c r="F62" t="s">
        <v>95</v>
      </c>
      <c r="H62" s="150">
        <f>'Balance '!I29</f>
        <v>7596331</v>
      </c>
    </row>
    <row r="63" spans="1:10">
      <c r="A63" s="160"/>
      <c r="B63" s="160">
        <f>B60-B62</f>
        <v>-9.9999997764825821E-3</v>
      </c>
      <c r="C63" s="160"/>
      <c r="D63" s="160"/>
      <c r="F63" t="s">
        <v>51</v>
      </c>
      <c r="H63" s="160">
        <f>H60-H62</f>
        <v>-1.0000001639127731E-2</v>
      </c>
    </row>
    <row r="64" spans="1:10">
      <c r="B64" s="150"/>
    </row>
    <row r="65" spans="2:2">
      <c r="B65" s="163"/>
    </row>
    <row r="66" spans="2:2">
      <c r="B66" s="163"/>
    </row>
  </sheetData>
  <pageMargins left="0.7" right="0.7" top="0.78740157499999996" bottom="0.78740157499999996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30"/>
  <sheetViews>
    <sheetView workbookViewId="0">
      <selection activeCell="G29" sqref="G29"/>
    </sheetView>
  </sheetViews>
  <sheetFormatPr baseColWidth="10" defaultColWidth="8.69921875" defaultRowHeight="13.8"/>
  <cols>
    <col min="1" max="1" width="15.69921875" customWidth="1"/>
    <col min="2" max="2" width="44.09765625" style="71" customWidth="1"/>
    <col min="3" max="4" width="15.69921875" style="71" customWidth="1"/>
    <col min="5" max="6" width="15.69921875" customWidth="1"/>
    <col min="7" max="7" width="20.3984375" bestFit="1" customWidth="1"/>
    <col min="8" max="8" width="20.3984375" style="71" bestFit="1" customWidth="1"/>
  </cols>
  <sheetData>
    <row r="1" spans="1:8">
      <c r="A1" s="76" t="s">
        <v>1513</v>
      </c>
      <c r="B1" s="95" t="s">
        <v>1509</v>
      </c>
      <c r="C1" s="95" t="s">
        <v>1510</v>
      </c>
      <c r="D1" s="95" t="s">
        <v>1512</v>
      </c>
      <c r="E1" s="76" t="s">
        <v>1511</v>
      </c>
    </row>
    <row r="2" spans="1:8">
      <c r="A2" s="227">
        <v>45876</v>
      </c>
      <c r="B2" s="95">
        <v>20000</v>
      </c>
      <c r="C2" s="95"/>
      <c r="D2" s="95">
        <f>B2-C2</f>
        <v>20000</v>
      </c>
      <c r="E2" s="76"/>
      <c r="G2" s="173" t="s">
        <v>462</v>
      </c>
      <c r="H2" t="s">
        <v>1896</v>
      </c>
    </row>
    <row r="3" spans="1:8">
      <c r="A3" s="227">
        <v>45876</v>
      </c>
      <c r="B3" s="95"/>
      <c r="C3" s="95">
        <v>5000</v>
      </c>
      <c r="D3" s="95">
        <f>D2+B3-C3</f>
        <v>15000</v>
      </c>
      <c r="E3" s="76" t="s">
        <v>184</v>
      </c>
      <c r="G3" s="149" t="s">
        <v>190</v>
      </c>
      <c r="H3" s="327">
        <v>10000</v>
      </c>
    </row>
    <row r="4" spans="1:8">
      <c r="A4" s="227">
        <v>45876</v>
      </c>
      <c r="B4" s="95"/>
      <c r="C4" s="95">
        <v>5000</v>
      </c>
      <c r="D4" s="95">
        <f t="shared" ref="D4:D30" si="0">D3+B4-C4</f>
        <v>10000</v>
      </c>
      <c r="E4" s="76" t="s">
        <v>175</v>
      </c>
      <c r="G4" s="149" t="s">
        <v>1507</v>
      </c>
      <c r="H4" s="327">
        <v>15000</v>
      </c>
    </row>
    <row r="5" spans="1:8">
      <c r="A5" s="227">
        <v>45876</v>
      </c>
      <c r="B5" s="95"/>
      <c r="C5" s="95">
        <v>5000</v>
      </c>
      <c r="D5" s="95">
        <f t="shared" si="0"/>
        <v>5000</v>
      </c>
      <c r="E5" s="76" t="s">
        <v>323</v>
      </c>
      <c r="G5" s="149" t="s">
        <v>437</v>
      </c>
      <c r="H5" s="327">
        <v>15000</v>
      </c>
    </row>
    <row r="6" spans="1:8">
      <c r="A6" s="227">
        <v>45876</v>
      </c>
      <c r="B6" s="95"/>
      <c r="C6" s="95">
        <v>5000</v>
      </c>
      <c r="D6" s="95">
        <f t="shared" si="0"/>
        <v>0</v>
      </c>
      <c r="E6" s="76" t="s">
        <v>317</v>
      </c>
      <c r="G6" s="149" t="s">
        <v>153</v>
      </c>
      <c r="H6" s="327">
        <v>15000</v>
      </c>
    </row>
    <row r="7" spans="1:8">
      <c r="A7" s="227">
        <v>45884</v>
      </c>
      <c r="B7" s="95">
        <v>25000</v>
      </c>
      <c r="C7" s="95"/>
      <c r="D7" s="95">
        <f>B7-C7</f>
        <v>25000</v>
      </c>
      <c r="E7" s="76"/>
      <c r="G7" s="149" t="s">
        <v>213</v>
      </c>
      <c r="H7" s="327">
        <v>15000</v>
      </c>
    </row>
    <row r="8" spans="1:8">
      <c r="A8" s="227">
        <v>45884</v>
      </c>
      <c r="B8" s="95"/>
      <c r="C8" s="95">
        <v>5000</v>
      </c>
      <c r="D8" s="95">
        <f t="shared" si="0"/>
        <v>20000</v>
      </c>
      <c r="E8" s="76" t="s">
        <v>1507</v>
      </c>
      <c r="G8" s="149" t="s">
        <v>323</v>
      </c>
      <c r="H8" s="327">
        <v>20000</v>
      </c>
    </row>
    <row r="9" spans="1:8">
      <c r="A9" s="227">
        <v>45884</v>
      </c>
      <c r="B9" s="95"/>
      <c r="C9" s="95">
        <v>5000</v>
      </c>
      <c r="D9" s="95">
        <f t="shared" si="0"/>
        <v>15000</v>
      </c>
      <c r="E9" s="76" t="s">
        <v>213</v>
      </c>
      <c r="G9" s="149" t="s">
        <v>317</v>
      </c>
      <c r="H9" s="327">
        <v>20000</v>
      </c>
    </row>
    <row r="10" spans="1:8">
      <c r="A10" s="227">
        <v>45884</v>
      </c>
      <c r="B10" s="167"/>
      <c r="C10" s="167">
        <v>5000</v>
      </c>
      <c r="D10" s="167">
        <f t="shared" si="0"/>
        <v>10000</v>
      </c>
      <c r="E10" s="129" t="s">
        <v>437</v>
      </c>
      <c r="G10" s="149" t="s">
        <v>184</v>
      </c>
      <c r="H10" s="327">
        <v>25000</v>
      </c>
    </row>
    <row r="11" spans="1:8">
      <c r="A11" s="227">
        <v>45884</v>
      </c>
      <c r="B11" s="167"/>
      <c r="C11" s="167">
        <v>5000</v>
      </c>
      <c r="D11" s="167">
        <f t="shared" si="0"/>
        <v>5000</v>
      </c>
      <c r="E11" s="129" t="s">
        <v>175</v>
      </c>
      <c r="G11" s="149" t="s">
        <v>583</v>
      </c>
      <c r="H11" s="327">
        <v>10000</v>
      </c>
    </row>
    <row r="12" spans="1:8">
      <c r="A12" s="227">
        <v>45884</v>
      </c>
      <c r="B12" s="167"/>
      <c r="C12" s="167">
        <v>5000</v>
      </c>
      <c r="D12" s="167">
        <f t="shared" si="0"/>
        <v>0</v>
      </c>
      <c r="E12" s="129" t="s">
        <v>184</v>
      </c>
      <c r="G12" s="149" t="s">
        <v>193</v>
      </c>
      <c r="H12" s="327">
        <v>10000</v>
      </c>
    </row>
    <row r="13" spans="1:8">
      <c r="A13" s="227">
        <v>45887</v>
      </c>
      <c r="B13" s="95">
        <v>120000</v>
      </c>
      <c r="C13" s="95"/>
      <c r="D13" s="167">
        <f>B13-C13</f>
        <v>120000</v>
      </c>
      <c r="E13" s="76"/>
      <c r="G13" s="149" t="s">
        <v>187</v>
      </c>
      <c r="H13" s="327">
        <v>10000</v>
      </c>
    </row>
    <row r="14" spans="1:8">
      <c r="A14" s="227">
        <v>45887</v>
      </c>
      <c r="B14" s="95"/>
      <c r="C14" s="95">
        <v>15000</v>
      </c>
      <c r="D14" s="167">
        <f t="shared" si="0"/>
        <v>105000</v>
      </c>
      <c r="E14" s="76" t="s">
        <v>153</v>
      </c>
      <c r="G14" s="149" t="s">
        <v>175</v>
      </c>
      <c r="H14" s="327">
        <v>25000</v>
      </c>
    </row>
    <row r="15" spans="1:8">
      <c r="A15" s="227">
        <v>45887</v>
      </c>
      <c r="B15" s="95"/>
      <c r="C15" s="95">
        <v>10000</v>
      </c>
      <c r="D15" s="167">
        <f t="shared" si="0"/>
        <v>95000</v>
      </c>
      <c r="E15" s="76" t="s">
        <v>583</v>
      </c>
      <c r="G15" s="149" t="s">
        <v>1893</v>
      </c>
      <c r="H15" s="327"/>
    </row>
    <row r="16" spans="1:8">
      <c r="A16" s="227">
        <v>45887</v>
      </c>
      <c r="B16" s="95"/>
      <c r="C16" s="95">
        <v>5000</v>
      </c>
      <c r="D16" s="167">
        <f t="shared" si="0"/>
        <v>90000</v>
      </c>
      <c r="E16" s="76" t="s">
        <v>1507</v>
      </c>
      <c r="G16" s="149" t="s">
        <v>463</v>
      </c>
      <c r="H16" s="327">
        <v>190000</v>
      </c>
    </row>
    <row r="17" spans="1:8">
      <c r="A17" s="227">
        <v>45887</v>
      </c>
      <c r="B17" s="95"/>
      <c r="C17" s="95">
        <v>10000</v>
      </c>
      <c r="D17" s="167">
        <f t="shared" si="0"/>
        <v>80000</v>
      </c>
      <c r="E17" s="76" t="s">
        <v>437</v>
      </c>
      <c r="H17"/>
    </row>
    <row r="18" spans="1:8">
      <c r="A18" s="227">
        <v>45887</v>
      </c>
      <c r="B18" s="95"/>
      <c r="C18" s="95">
        <v>10000</v>
      </c>
      <c r="D18" s="167">
        <f t="shared" si="0"/>
        <v>70000</v>
      </c>
      <c r="E18" s="76" t="s">
        <v>187</v>
      </c>
    </row>
    <row r="19" spans="1:8">
      <c r="A19" s="227">
        <v>45887</v>
      </c>
      <c r="B19" s="95"/>
      <c r="C19" s="95">
        <v>10000</v>
      </c>
      <c r="D19" s="167">
        <f t="shared" si="0"/>
        <v>60000</v>
      </c>
      <c r="E19" s="76" t="s">
        <v>193</v>
      </c>
    </row>
    <row r="20" spans="1:8">
      <c r="A20" s="227">
        <v>45887</v>
      </c>
      <c r="B20" s="95"/>
      <c r="C20" s="95">
        <v>5000</v>
      </c>
      <c r="D20" s="167">
        <f t="shared" si="0"/>
        <v>55000</v>
      </c>
      <c r="E20" s="76" t="s">
        <v>190</v>
      </c>
    </row>
    <row r="21" spans="1:8">
      <c r="A21" s="227">
        <v>45887</v>
      </c>
      <c r="B21" s="95"/>
      <c r="C21" s="95">
        <v>15000</v>
      </c>
      <c r="D21" s="167">
        <f t="shared" si="0"/>
        <v>40000</v>
      </c>
      <c r="E21" s="76" t="s">
        <v>175</v>
      </c>
    </row>
    <row r="22" spans="1:8">
      <c r="A22" s="227">
        <v>45887</v>
      </c>
      <c r="B22" s="95"/>
      <c r="C22" s="95">
        <v>5000</v>
      </c>
      <c r="D22" s="167">
        <f t="shared" si="0"/>
        <v>35000</v>
      </c>
      <c r="E22" s="76" t="s">
        <v>323</v>
      </c>
    </row>
    <row r="23" spans="1:8">
      <c r="A23" s="227">
        <v>45887</v>
      </c>
      <c r="B23" s="95"/>
      <c r="C23" s="95">
        <v>10000</v>
      </c>
      <c r="D23" s="167">
        <f t="shared" si="0"/>
        <v>25000</v>
      </c>
      <c r="E23" s="76" t="s">
        <v>184</v>
      </c>
    </row>
    <row r="24" spans="1:8">
      <c r="A24" s="227">
        <v>45887</v>
      </c>
      <c r="B24" s="95"/>
      <c r="C24" s="95">
        <v>15000</v>
      </c>
      <c r="D24" s="167">
        <f t="shared" si="0"/>
        <v>10000</v>
      </c>
      <c r="E24" s="76" t="s">
        <v>317</v>
      </c>
    </row>
    <row r="25" spans="1:8">
      <c r="A25" s="227">
        <v>45887</v>
      </c>
      <c r="B25" s="95"/>
      <c r="C25" s="95">
        <v>10000</v>
      </c>
      <c r="D25" s="95">
        <f t="shared" si="0"/>
        <v>0</v>
      </c>
      <c r="E25" s="76" t="s">
        <v>213</v>
      </c>
    </row>
    <row r="26" spans="1:8">
      <c r="A26" s="227">
        <v>45887</v>
      </c>
      <c r="B26" s="95">
        <v>25000</v>
      </c>
      <c r="C26" s="95"/>
      <c r="D26" s="95">
        <f>B26-C26</f>
        <v>25000</v>
      </c>
      <c r="E26" s="76"/>
    </row>
    <row r="27" spans="1:8">
      <c r="A27" s="227">
        <v>45887</v>
      </c>
      <c r="B27" s="95"/>
      <c r="C27" s="95">
        <v>5000</v>
      </c>
      <c r="D27" s="167">
        <f t="shared" si="0"/>
        <v>20000</v>
      </c>
      <c r="E27" s="76" t="s">
        <v>1507</v>
      </c>
    </row>
    <row r="28" spans="1:8">
      <c r="A28" s="227">
        <v>45887</v>
      </c>
      <c r="B28" s="95"/>
      <c r="C28" s="95">
        <v>5000</v>
      </c>
      <c r="D28" s="167">
        <f t="shared" si="0"/>
        <v>15000</v>
      </c>
      <c r="E28" s="76" t="s">
        <v>190</v>
      </c>
    </row>
    <row r="29" spans="1:8">
      <c r="A29" s="227">
        <v>45887</v>
      </c>
      <c r="B29" s="95"/>
      <c r="C29" s="95">
        <v>5000</v>
      </c>
      <c r="D29" s="167">
        <f t="shared" si="0"/>
        <v>10000</v>
      </c>
      <c r="E29" s="76" t="s">
        <v>184</v>
      </c>
    </row>
    <row r="30" spans="1:8">
      <c r="A30" s="227">
        <v>45887</v>
      </c>
      <c r="B30" s="95"/>
      <c r="C30" s="95">
        <v>10000</v>
      </c>
      <c r="D30" s="167">
        <f t="shared" si="0"/>
        <v>0</v>
      </c>
      <c r="E30" s="76" t="s">
        <v>323</v>
      </c>
    </row>
  </sheetData>
  <pageMargins left="0.7" right="0.7" top="0.78740157499999996" bottom="0.78740157499999996" header="0.3" footer="0.3"/>
  <ignoredErrors>
    <ignoredError sqref="D7 D13 D2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640"/>
  <sheetViews>
    <sheetView zoomScale="69" zoomScaleNormal="69" workbookViewId="0">
      <pane ySplit="1" topLeftCell="A491" activePane="bottomLeft" state="frozen"/>
      <selection pane="bottomLeft" activeCell="F506" sqref="F506"/>
    </sheetView>
  </sheetViews>
  <sheetFormatPr baseColWidth="10" defaultColWidth="8.69921875" defaultRowHeight="15.6"/>
  <cols>
    <col min="1" max="1" width="12.69921875" style="509" customWidth="1"/>
    <col min="2" max="2" width="82" customWidth="1"/>
    <col min="3" max="3" width="20.69921875" customWidth="1"/>
    <col min="4" max="4" width="12.69921875" customWidth="1"/>
    <col min="5" max="5" width="12.69921875" style="71" customWidth="1"/>
    <col min="6" max="6" width="17.69921875" style="71" customWidth="1"/>
    <col min="7" max="7" width="15.3984375" customWidth="1"/>
    <col min="8" max="8" width="17" customWidth="1"/>
    <col min="9" max="9" width="22.09765625" customWidth="1"/>
    <col min="10" max="14" width="12.69921875" customWidth="1"/>
    <col min="15" max="15" width="28.3984375" customWidth="1"/>
  </cols>
  <sheetData>
    <row r="1" spans="1:16" s="433" customFormat="1" ht="31.2">
      <c r="A1" s="507" t="s">
        <v>0</v>
      </c>
      <c r="B1" s="537" t="s">
        <v>1</v>
      </c>
      <c r="C1" s="537" t="s">
        <v>2</v>
      </c>
      <c r="D1" s="537" t="s">
        <v>3</v>
      </c>
      <c r="E1" s="538" t="s">
        <v>150</v>
      </c>
      <c r="F1" s="539" t="s">
        <v>4</v>
      </c>
      <c r="G1" s="540" t="s">
        <v>5</v>
      </c>
      <c r="H1" s="541" t="s">
        <v>10</v>
      </c>
      <c r="I1" s="541" t="s">
        <v>6</v>
      </c>
      <c r="J1" s="541" t="s">
        <v>7</v>
      </c>
      <c r="K1" s="542" t="s">
        <v>8</v>
      </c>
      <c r="L1" s="541" t="s">
        <v>9</v>
      </c>
      <c r="M1" s="543" t="s">
        <v>473</v>
      </c>
      <c r="N1" s="539" t="s">
        <v>474</v>
      </c>
      <c r="O1" s="541" t="s">
        <v>71</v>
      </c>
    </row>
    <row r="2" spans="1:16" s="433" customFormat="1">
      <c r="A2" s="534">
        <v>45870</v>
      </c>
      <c r="B2" s="517" t="s">
        <v>2445</v>
      </c>
      <c r="C2" s="308" t="s">
        <v>174</v>
      </c>
      <c r="D2" s="308" t="s">
        <v>119</v>
      </c>
      <c r="E2" s="517">
        <v>1000</v>
      </c>
      <c r="F2" s="325">
        <f t="shared" ref="F2:F33" si="0">E2/G2</f>
        <v>1.7827155035636482</v>
      </c>
      <c r="G2" s="326">
        <v>560.94200000000001</v>
      </c>
      <c r="H2" s="524" t="s">
        <v>153</v>
      </c>
      <c r="I2" s="525" t="s">
        <v>2494</v>
      </c>
      <c r="J2" s="182" t="s">
        <v>98</v>
      </c>
      <c r="K2" s="438" t="s">
        <v>1902</v>
      </c>
      <c r="L2" s="182" t="s">
        <v>155</v>
      </c>
      <c r="M2" s="438"/>
      <c r="N2" s="438"/>
      <c r="O2" s="438"/>
      <c r="P2" s="544"/>
    </row>
    <row r="3" spans="1:16" s="433" customFormat="1">
      <c r="A3" s="534">
        <v>45870</v>
      </c>
      <c r="B3" s="517" t="s">
        <v>2100</v>
      </c>
      <c r="C3" s="308" t="s">
        <v>174</v>
      </c>
      <c r="D3" s="308" t="s">
        <v>119</v>
      </c>
      <c r="E3" s="517">
        <v>1000</v>
      </c>
      <c r="F3" s="325">
        <f t="shared" si="0"/>
        <v>1.7827155035636482</v>
      </c>
      <c r="G3" s="326">
        <v>560.94200000000001</v>
      </c>
      <c r="H3" s="524" t="s">
        <v>153</v>
      </c>
      <c r="I3" s="525" t="s">
        <v>2494</v>
      </c>
      <c r="J3" s="182" t="s">
        <v>98</v>
      </c>
      <c r="K3" s="438" t="s">
        <v>1902</v>
      </c>
      <c r="L3" s="182" t="s">
        <v>155</v>
      </c>
      <c r="M3" s="438"/>
      <c r="N3" s="438"/>
      <c r="O3" s="438"/>
      <c r="P3" s="544"/>
    </row>
    <row r="4" spans="1:16" s="433" customFormat="1">
      <c r="A4" s="504">
        <v>45870</v>
      </c>
      <c r="B4" s="182" t="s">
        <v>2500</v>
      </c>
      <c r="C4" s="182" t="s">
        <v>174</v>
      </c>
      <c r="D4" s="182" t="s">
        <v>118</v>
      </c>
      <c r="E4" s="435">
        <v>1000</v>
      </c>
      <c r="F4" s="325">
        <f t="shared" si="0"/>
        <v>1.7827155035636482</v>
      </c>
      <c r="G4" s="326">
        <v>560.94200000000001</v>
      </c>
      <c r="H4" s="182" t="s">
        <v>583</v>
      </c>
      <c r="I4" s="182" t="s">
        <v>2536</v>
      </c>
      <c r="J4" s="182" t="s">
        <v>98</v>
      </c>
      <c r="K4" s="438" t="s">
        <v>1902</v>
      </c>
      <c r="L4" s="182" t="s">
        <v>155</v>
      </c>
      <c r="M4" s="438"/>
      <c r="N4" s="438"/>
      <c r="O4" s="438"/>
      <c r="P4" s="544"/>
    </row>
    <row r="5" spans="1:16" s="433" customFormat="1">
      <c r="A5" s="504">
        <v>45870</v>
      </c>
      <c r="B5" s="182" t="s">
        <v>2501</v>
      </c>
      <c r="C5" s="182" t="s">
        <v>174</v>
      </c>
      <c r="D5" s="182" t="s">
        <v>118</v>
      </c>
      <c r="E5" s="435">
        <v>1000</v>
      </c>
      <c r="F5" s="325">
        <f t="shared" si="0"/>
        <v>1.7827155035636482</v>
      </c>
      <c r="G5" s="326">
        <v>560.94200000000001</v>
      </c>
      <c r="H5" s="182" t="s">
        <v>583</v>
      </c>
      <c r="I5" s="182" t="s">
        <v>2536</v>
      </c>
      <c r="J5" s="182" t="s">
        <v>98</v>
      </c>
      <c r="K5" s="438" t="s">
        <v>1902</v>
      </c>
      <c r="L5" s="182" t="s">
        <v>155</v>
      </c>
      <c r="M5" s="438"/>
      <c r="N5" s="438"/>
      <c r="O5" s="438"/>
      <c r="P5" s="544"/>
    </row>
    <row r="6" spans="1:16" s="433" customFormat="1">
      <c r="A6" s="508">
        <v>45870</v>
      </c>
      <c r="B6" s="367" t="s">
        <v>2932</v>
      </c>
      <c r="C6" s="182" t="s">
        <v>126</v>
      </c>
      <c r="D6" s="439" t="s">
        <v>118</v>
      </c>
      <c r="E6" s="435">
        <v>500000</v>
      </c>
      <c r="F6" s="325">
        <f t="shared" si="0"/>
        <v>891.35775178182416</v>
      </c>
      <c r="G6" s="326">
        <v>560.94200000000001</v>
      </c>
      <c r="H6" s="182" t="s">
        <v>148</v>
      </c>
      <c r="I6" s="182" t="s">
        <v>2909</v>
      </c>
      <c r="J6" s="182" t="s">
        <v>98</v>
      </c>
      <c r="K6" s="438" t="s">
        <v>1902</v>
      </c>
      <c r="L6" s="182" t="s">
        <v>155</v>
      </c>
      <c r="M6" s="538"/>
      <c r="N6" s="538"/>
      <c r="O6" s="538"/>
      <c r="P6" s="544"/>
    </row>
    <row r="7" spans="1:16" s="433" customFormat="1">
      <c r="A7" s="535">
        <v>45873</v>
      </c>
      <c r="B7" s="517" t="s">
        <v>2099</v>
      </c>
      <c r="C7" s="308" t="s">
        <v>174</v>
      </c>
      <c r="D7" s="308" t="s">
        <v>119</v>
      </c>
      <c r="E7" s="517">
        <v>1000</v>
      </c>
      <c r="F7" s="325">
        <f t="shared" si="0"/>
        <v>1.7827155035636482</v>
      </c>
      <c r="G7" s="326">
        <v>560.94200000000001</v>
      </c>
      <c r="H7" s="524" t="s">
        <v>153</v>
      </c>
      <c r="I7" s="525" t="s">
        <v>2494</v>
      </c>
      <c r="J7" s="182" t="s">
        <v>98</v>
      </c>
      <c r="K7" s="438" t="s">
        <v>1902</v>
      </c>
      <c r="L7" s="182" t="s">
        <v>155</v>
      </c>
      <c r="M7" s="438"/>
      <c r="N7" s="438"/>
      <c r="O7" s="438"/>
      <c r="P7" s="544"/>
    </row>
    <row r="8" spans="1:16" s="433" customFormat="1">
      <c r="A8" s="535">
        <v>45873</v>
      </c>
      <c r="B8" s="517" t="s">
        <v>2446</v>
      </c>
      <c r="C8" s="308" t="s">
        <v>174</v>
      </c>
      <c r="D8" s="308" t="s">
        <v>119</v>
      </c>
      <c r="E8" s="517">
        <v>1000</v>
      </c>
      <c r="F8" s="325">
        <f t="shared" si="0"/>
        <v>1.7827155035636482</v>
      </c>
      <c r="G8" s="326">
        <v>560.94200000000001</v>
      </c>
      <c r="H8" s="524" t="s">
        <v>153</v>
      </c>
      <c r="I8" s="525" t="s">
        <v>2494</v>
      </c>
      <c r="J8" s="182" t="s">
        <v>98</v>
      </c>
      <c r="K8" s="438" t="s">
        <v>1902</v>
      </c>
      <c r="L8" s="182" t="s">
        <v>155</v>
      </c>
      <c r="M8" s="438"/>
      <c r="N8" s="438"/>
      <c r="O8" s="438"/>
      <c r="P8" s="544"/>
    </row>
    <row r="9" spans="1:16" s="433" customFormat="1">
      <c r="A9" s="508">
        <v>45873</v>
      </c>
      <c r="B9" s="367" t="s">
        <v>2886</v>
      </c>
      <c r="C9" s="439" t="s">
        <v>127</v>
      </c>
      <c r="D9" s="444" t="s">
        <v>121</v>
      </c>
      <c r="E9" s="435">
        <v>159677</v>
      </c>
      <c r="F9" s="325">
        <f t="shared" si="0"/>
        <v>284.65866346253267</v>
      </c>
      <c r="G9" s="326">
        <v>560.94200000000001</v>
      </c>
      <c r="H9" s="182" t="s">
        <v>148</v>
      </c>
      <c r="I9" s="182" t="s">
        <v>2910</v>
      </c>
      <c r="J9" s="182" t="s">
        <v>98</v>
      </c>
      <c r="K9" s="438" t="s">
        <v>1902</v>
      </c>
      <c r="L9" s="182" t="s">
        <v>155</v>
      </c>
      <c r="M9" s="538"/>
      <c r="N9" s="538"/>
      <c r="O9" s="538"/>
      <c r="P9" s="544"/>
    </row>
    <row r="10" spans="1:16" s="433" customFormat="1">
      <c r="A10" s="535">
        <v>45874</v>
      </c>
      <c r="B10" s="517" t="s">
        <v>2099</v>
      </c>
      <c r="C10" s="308" t="s">
        <v>174</v>
      </c>
      <c r="D10" s="308" t="s">
        <v>119</v>
      </c>
      <c r="E10" s="517">
        <v>1000</v>
      </c>
      <c r="F10" s="325">
        <f t="shared" si="0"/>
        <v>1.7827155035636482</v>
      </c>
      <c r="G10" s="326">
        <v>560.94200000000001</v>
      </c>
      <c r="H10" s="524" t="s">
        <v>153</v>
      </c>
      <c r="I10" s="525" t="s">
        <v>2494</v>
      </c>
      <c r="J10" s="182" t="s">
        <v>98</v>
      </c>
      <c r="K10" s="438" t="s">
        <v>1902</v>
      </c>
      <c r="L10" s="182" t="s">
        <v>155</v>
      </c>
      <c r="M10" s="438"/>
      <c r="N10" s="438"/>
      <c r="O10" s="438"/>
      <c r="P10" s="544"/>
    </row>
    <row r="11" spans="1:16" s="433" customFormat="1">
      <c r="A11" s="535">
        <v>45874</v>
      </c>
      <c r="B11" s="517" t="s">
        <v>2100</v>
      </c>
      <c r="C11" s="308" t="s">
        <v>174</v>
      </c>
      <c r="D11" s="308" t="s">
        <v>119</v>
      </c>
      <c r="E11" s="517">
        <v>1000</v>
      </c>
      <c r="F11" s="325">
        <f t="shared" si="0"/>
        <v>1.7827155035636482</v>
      </c>
      <c r="G11" s="326">
        <v>560.94200000000001</v>
      </c>
      <c r="H11" s="524" t="s">
        <v>153</v>
      </c>
      <c r="I11" s="525" t="s">
        <v>2494</v>
      </c>
      <c r="J11" s="182" t="s">
        <v>98</v>
      </c>
      <c r="K11" s="438" t="s">
        <v>1902</v>
      </c>
      <c r="L11" s="182" t="s">
        <v>155</v>
      </c>
      <c r="M11" s="438"/>
      <c r="N11" s="438"/>
      <c r="O11" s="438"/>
      <c r="P11" s="544"/>
    </row>
    <row r="12" spans="1:16" s="433" customFormat="1">
      <c r="A12" s="504">
        <v>45874</v>
      </c>
      <c r="B12" s="182" t="s">
        <v>2502</v>
      </c>
      <c r="C12" s="182" t="s">
        <v>174</v>
      </c>
      <c r="D12" s="182" t="s">
        <v>118</v>
      </c>
      <c r="E12" s="435">
        <v>1000</v>
      </c>
      <c r="F12" s="325">
        <f t="shared" si="0"/>
        <v>1.7827155035636482</v>
      </c>
      <c r="G12" s="326">
        <v>560.94200000000001</v>
      </c>
      <c r="H12" s="182" t="s">
        <v>583</v>
      </c>
      <c r="I12" s="182" t="s">
        <v>2536</v>
      </c>
      <c r="J12" s="182" t="s">
        <v>98</v>
      </c>
      <c r="K12" s="438" t="s">
        <v>1902</v>
      </c>
      <c r="L12" s="182" t="s">
        <v>155</v>
      </c>
      <c r="M12" s="438"/>
      <c r="N12" s="438"/>
      <c r="O12" s="438"/>
      <c r="P12" s="544"/>
    </row>
    <row r="13" spans="1:16" s="433" customFormat="1">
      <c r="A13" s="504">
        <v>45874</v>
      </c>
      <c r="B13" s="182" t="s">
        <v>2503</v>
      </c>
      <c r="C13" s="182" t="s">
        <v>174</v>
      </c>
      <c r="D13" s="182" t="s">
        <v>118</v>
      </c>
      <c r="E13" s="435">
        <v>1000</v>
      </c>
      <c r="F13" s="325">
        <f t="shared" si="0"/>
        <v>1.7827155035636482</v>
      </c>
      <c r="G13" s="326">
        <v>560.94200000000001</v>
      </c>
      <c r="H13" s="182" t="s">
        <v>583</v>
      </c>
      <c r="I13" s="182" t="s">
        <v>2536</v>
      </c>
      <c r="J13" s="182" t="s">
        <v>98</v>
      </c>
      <c r="K13" s="438" t="s">
        <v>1902</v>
      </c>
      <c r="L13" s="182" t="s">
        <v>155</v>
      </c>
      <c r="M13" s="438"/>
      <c r="N13" s="438"/>
      <c r="O13" s="438"/>
      <c r="P13" s="544"/>
    </row>
    <row r="14" spans="1:16" s="433" customFormat="1">
      <c r="A14" s="535">
        <v>45875</v>
      </c>
      <c r="B14" s="517" t="s">
        <v>2099</v>
      </c>
      <c r="C14" s="308" t="s">
        <v>174</v>
      </c>
      <c r="D14" s="308" t="s">
        <v>119</v>
      </c>
      <c r="E14" s="517">
        <v>1000</v>
      </c>
      <c r="F14" s="325">
        <f t="shared" si="0"/>
        <v>1.7827155035636482</v>
      </c>
      <c r="G14" s="326">
        <v>560.94200000000001</v>
      </c>
      <c r="H14" s="524" t="s">
        <v>153</v>
      </c>
      <c r="I14" s="525" t="s">
        <v>2494</v>
      </c>
      <c r="J14" s="182" t="s">
        <v>98</v>
      </c>
      <c r="K14" s="438" t="s">
        <v>1902</v>
      </c>
      <c r="L14" s="182" t="s">
        <v>155</v>
      </c>
      <c r="M14" s="182"/>
      <c r="N14" s="182"/>
      <c r="O14" s="438"/>
      <c r="P14" s="544"/>
    </row>
    <row r="15" spans="1:16" s="433" customFormat="1">
      <c r="A15" s="535">
        <v>45875</v>
      </c>
      <c r="B15" s="517" t="s">
        <v>2100</v>
      </c>
      <c r="C15" s="308" t="s">
        <v>174</v>
      </c>
      <c r="D15" s="308" t="s">
        <v>119</v>
      </c>
      <c r="E15" s="517">
        <v>1000</v>
      </c>
      <c r="F15" s="325">
        <f t="shared" si="0"/>
        <v>1.7827155035636482</v>
      </c>
      <c r="G15" s="326">
        <v>560.94200000000001</v>
      </c>
      <c r="H15" s="524" t="s">
        <v>153</v>
      </c>
      <c r="I15" s="525" t="s">
        <v>2494</v>
      </c>
      <c r="J15" s="182" t="s">
        <v>98</v>
      </c>
      <c r="K15" s="438" t="s">
        <v>1902</v>
      </c>
      <c r="L15" s="182" t="s">
        <v>155</v>
      </c>
      <c r="M15" s="438"/>
      <c r="N15" s="438"/>
      <c r="O15" s="438"/>
      <c r="P15" s="544"/>
    </row>
    <row r="16" spans="1:16" s="433" customFormat="1">
      <c r="A16" s="504">
        <v>45875</v>
      </c>
      <c r="B16" s="182" t="s">
        <v>2502</v>
      </c>
      <c r="C16" s="182" t="s">
        <v>174</v>
      </c>
      <c r="D16" s="182" t="s">
        <v>118</v>
      </c>
      <c r="E16" s="435">
        <v>1000</v>
      </c>
      <c r="F16" s="325">
        <f t="shared" si="0"/>
        <v>1.7827155035636482</v>
      </c>
      <c r="G16" s="326">
        <v>560.94200000000001</v>
      </c>
      <c r="H16" s="182" t="s">
        <v>583</v>
      </c>
      <c r="I16" s="182" t="s">
        <v>2536</v>
      </c>
      <c r="J16" s="182" t="s">
        <v>98</v>
      </c>
      <c r="K16" s="438" t="s">
        <v>1902</v>
      </c>
      <c r="L16" s="182" t="s">
        <v>155</v>
      </c>
      <c r="M16" s="438"/>
      <c r="N16" s="438"/>
      <c r="O16" s="438"/>
      <c r="P16" s="544"/>
    </row>
    <row r="17" spans="1:16" s="433" customFormat="1">
      <c r="A17" s="504">
        <v>45875</v>
      </c>
      <c r="B17" s="182" t="s">
        <v>2503</v>
      </c>
      <c r="C17" s="182" t="s">
        <v>174</v>
      </c>
      <c r="D17" s="182" t="s">
        <v>118</v>
      </c>
      <c r="E17" s="435">
        <v>1000</v>
      </c>
      <c r="F17" s="325">
        <f t="shared" si="0"/>
        <v>1.7827155035636482</v>
      </c>
      <c r="G17" s="326">
        <v>560.94200000000001</v>
      </c>
      <c r="H17" s="182" t="s">
        <v>583</v>
      </c>
      <c r="I17" s="182" t="s">
        <v>2536</v>
      </c>
      <c r="J17" s="182" t="s">
        <v>98</v>
      </c>
      <c r="K17" s="438" t="s">
        <v>1902</v>
      </c>
      <c r="L17" s="182" t="s">
        <v>155</v>
      </c>
      <c r="M17" s="438"/>
      <c r="N17" s="438"/>
      <c r="O17" s="438"/>
      <c r="P17" s="544"/>
    </row>
    <row r="18" spans="1:16" s="433" customFormat="1">
      <c r="A18" s="535">
        <v>45876</v>
      </c>
      <c r="B18" s="517" t="s">
        <v>2102</v>
      </c>
      <c r="C18" s="308" t="s">
        <v>174</v>
      </c>
      <c r="D18" s="308" t="s">
        <v>119</v>
      </c>
      <c r="E18" s="517">
        <v>1000</v>
      </c>
      <c r="F18" s="325">
        <f t="shared" si="0"/>
        <v>1.7827155035636482</v>
      </c>
      <c r="G18" s="326">
        <v>560.94200000000001</v>
      </c>
      <c r="H18" s="524" t="s">
        <v>153</v>
      </c>
      <c r="I18" s="525" t="s">
        <v>2494</v>
      </c>
      <c r="J18" s="182" t="s">
        <v>98</v>
      </c>
      <c r="K18" s="438" t="s">
        <v>1902</v>
      </c>
      <c r="L18" s="182" t="s">
        <v>155</v>
      </c>
      <c r="M18" s="438"/>
      <c r="N18" s="438"/>
      <c r="O18" s="438"/>
      <c r="P18" s="544"/>
    </row>
    <row r="19" spans="1:16" s="433" customFormat="1">
      <c r="A19" s="535">
        <v>45876</v>
      </c>
      <c r="B19" s="517" t="s">
        <v>2100</v>
      </c>
      <c r="C19" s="308" t="s">
        <v>174</v>
      </c>
      <c r="D19" s="308" t="s">
        <v>119</v>
      </c>
      <c r="E19" s="517">
        <v>1000</v>
      </c>
      <c r="F19" s="325">
        <f t="shared" si="0"/>
        <v>1.7827155035636482</v>
      </c>
      <c r="G19" s="326">
        <v>560.94200000000001</v>
      </c>
      <c r="H19" s="524" t="s">
        <v>153</v>
      </c>
      <c r="I19" s="525" t="s">
        <v>2494</v>
      </c>
      <c r="J19" s="182" t="s">
        <v>98</v>
      </c>
      <c r="K19" s="438" t="s">
        <v>1902</v>
      </c>
      <c r="L19" s="182" t="s">
        <v>155</v>
      </c>
      <c r="M19" s="438"/>
      <c r="N19" s="438"/>
      <c r="O19" s="438"/>
      <c r="P19" s="544"/>
    </row>
    <row r="20" spans="1:16" s="433" customFormat="1">
      <c r="A20" s="535">
        <v>45876</v>
      </c>
      <c r="B20" s="517" t="s">
        <v>2447</v>
      </c>
      <c r="C20" s="308" t="s">
        <v>127</v>
      </c>
      <c r="D20" s="308" t="s">
        <v>119</v>
      </c>
      <c r="E20" s="517">
        <v>174625</v>
      </c>
      <c r="F20" s="325">
        <f t="shared" si="0"/>
        <v>311.30669480980208</v>
      </c>
      <c r="G20" s="326">
        <v>560.94200000000001</v>
      </c>
      <c r="H20" s="524" t="s">
        <v>153</v>
      </c>
      <c r="I20" s="525" t="s">
        <v>2495</v>
      </c>
      <c r="J20" s="182" t="s">
        <v>98</v>
      </c>
      <c r="K20" s="438" t="s">
        <v>1902</v>
      </c>
      <c r="L20" s="182" t="s">
        <v>155</v>
      </c>
      <c r="M20" s="438"/>
      <c r="N20" s="438"/>
      <c r="O20" s="438"/>
      <c r="P20" s="544"/>
    </row>
    <row r="21" spans="1:16" s="433" customFormat="1">
      <c r="A21" s="504">
        <v>45876</v>
      </c>
      <c r="B21" s="182" t="s">
        <v>2504</v>
      </c>
      <c r="C21" s="182" t="s">
        <v>174</v>
      </c>
      <c r="D21" s="182" t="s">
        <v>118</v>
      </c>
      <c r="E21" s="435">
        <v>1000</v>
      </c>
      <c r="F21" s="325">
        <f t="shared" si="0"/>
        <v>1.7827155035636482</v>
      </c>
      <c r="G21" s="326">
        <v>560.94200000000001</v>
      </c>
      <c r="H21" s="182" t="s">
        <v>583</v>
      </c>
      <c r="I21" s="182" t="s">
        <v>2536</v>
      </c>
      <c r="J21" s="182" t="s">
        <v>98</v>
      </c>
      <c r="K21" s="438" t="s">
        <v>1902</v>
      </c>
      <c r="L21" s="182" t="s">
        <v>155</v>
      </c>
      <c r="M21" s="438"/>
      <c r="N21" s="438"/>
      <c r="O21" s="438"/>
      <c r="P21" s="544"/>
    </row>
    <row r="22" spans="1:16" s="433" customFormat="1">
      <c r="A22" s="504">
        <v>45876</v>
      </c>
      <c r="B22" s="182" t="s">
        <v>2505</v>
      </c>
      <c r="C22" s="182" t="s">
        <v>174</v>
      </c>
      <c r="D22" s="182" t="s">
        <v>118</v>
      </c>
      <c r="E22" s="435">
        <v>1000</v>
      </c>
      <c r="F22" s="325">
        <f t="shared" si="0"/>
        <v>1.7827155035636482</v>
      </c>
      <c r="G22" s="326">
        <v>560.94200000000001</v>
      </c>
      <c r="H22" s="182" t="s">
        <v>583</v>
      </c>
      <c r="I22" s="182" t="s">
        <v>2536</v>
      </c>
      <c r="J22" s="182" t="s">
        <v>98</v>
      </c>
      <c r="K22" s="438" t="s">
        <v>1902</v>
      </c>
      <c r="L22" s="182" t="s">
        <v>155</v>
      </c>
      <c r="M22" s="438"/>
      <c r="N22" s="438"/>
      <c r="O22" s="438"/>
      <c r="P22" s="544"/>
    </row>
    <row r="23" spans="1:16" s="433" customFormat="1">
      <c r="A23" s="504">
        <v>45876</v>
      </c>
      <c r="B23" s="182" t="s">
        <v>2506</v>
      </c>
      <c r="C23" s="182" t="s">
        <v>174</v>
      </c>
      <c r="D23" s="182" t="s">
        <v>118</v>
      </c>
      <c r="E23" s="435">
        <v>1000</v>
      </c>
      <c r="F23" s="325">
        <f t="shared" si="0"/>
        <v>1.7827155035636482</v>
      </c>
      <c r="G23" s="326">
        <v>560.94200000000001</v>
      </c>
      <c r="H23" s="182" t="s">
        <v>583</v>
      </c>
      <c r="I23" s="182" t="s">
        <v>2536</v>
      </c>
      <c r="J23" s="182" t="s">
        <v>98</v>
      </c>
      <c r="K23" s="438" t="s">
        <v>1902</v>
      </c>
      <c r="L23" s="182" t="s">
        <v>155</v>
      </c>
      <c r="M23" s="438"/>
      <c r="N23" s="438"/>
      <c r="O23" s="438"/>
      <c r="P23" s="544"/>
    </row>
    <row r="24" spans="1:16" s="433" customFormat="1">
      <c r="A24" s="504">
        <v>45876</v>
      </c>
      <c r="B24" s="182" t="s">
        <v>2507</v>
      </c>
      <c r="C24" s="182" t="s">
        <v>174</v>
      </c>
      <c r="D24" s="182" t="s">
        <v>118</v>
      </c>
      <c r="E24" s="435">
        <v>1000</v>
      </c>
      <c r="F24" s="325">
        <f t="shared" si="0"/>
        <v>1.7827155035636482</v>
      </c>
      <c r="G24" s="326">
        <v>560.94200000000001</v>
      </c>
      <c r="H24" s="182" t="s">
        <v>583</v>
      </c>
      <c r="I24" s="182" t="s">
        <v>2536</v>
      </c>
      <c r="J24" s="182" t="s">
        <v>98</v>
      </c>
      <c r="K24" s="438" t="s">
        <v>1902</v>
      </c>
      <c r="L24" s="182" t="s">
        <v>155</v>
      </c>
      <c r="M24" s="496"/>
      <c r="N24" s="496"/>
      <c r="O24" s="438"/>
      <c r="P24" s="544"/>
    </row>
    <row r="25" spans="1:16" s="433" customFormat="1">
      <c r="A25" s="467">
        <v>45876</v>
      </c>
      <c r="B25" s="177" t="s">
        <v>2550</v>
      </c>
      <c r="C25" s="177" t="s">
        <v>152</v>
      </c>
      <c r="D25" s="177" t="s">
        <v>2551</v>
      </c>
      <c r="E25" s="177">
        <v>5000</v>
      </c>
      <c r="F25" s="325">
        <f t="shared" si="0"/>
        <v>8.9135775178182417</v>
      </c>
      <c r="G25" s="326">
        <v>560.94200000000001</v>
      </c>
      <c r="H25" s="177" t="s">
        <v>184</v>
      </c>
      <c r="I25" s="177" t="s">
        <v>2557</v>
      </c>
      <c r="J25" s="182" t="s">
        <v>98</v>
      </c>
      <c r="K25" s="438" t="s">
        <v>1902</v>
      </c>
      <c r="L25" s="182" t="s">
        <v>155</v>
      </c>
      <c r="M25" s="438"/>
      <c r="N25" s="438"/>
      <c r="O25" s="438"/>
      <c r="P25" s="544"/>
    </row>
    <row r="26" spans="1:16" s="433" customFormat="1">
      <c r="A26" s="505">
        <v>45876</v>
      </c>
      <c r="B26" s="177" t="s">
        <v>2578</v>
      </c>
      <c r="C26" s="177" t="s">
        <v>152</v>
      </c>
      <c r="D26" s="177" t="s">
        <v>121</v>
      </c>
      <c r="E26" s="182">
        <v>5000</v>
      </c>
      <c r="F26" s="325">
        <f t="shared" si="0"/>
        <v>8.9135775178182417</v>
      </c>
      <c r="G26" s="326">
        <v>560.94200000000001</v>
      </c>
      <c r="H26" s="182" t="s">
        <v>175</v>
      </c>
      <c r="I26" s="182" t="s">
        <v>2587</v>
      </c>
      <c r="J26" s="182" t="s">
        <v>98</v>
      </c>
      <c r="K26" s="438" t="s">
        <v>1902</v>
      </c>
      <c r="L26" s="182" t="s">
        <v>155</v>
      </c>
      <c r="M26" s="538"/>
      <c r="N26" s="538"/>
      <c r="O26" s="538"/>
      <c r="P26" s="544"/>
    </row>
    <row r="27" spans="1:16" s="433" customFormat="1">
      <c r="A27" s="505">
        <v>45876</v>
      </c>
      <c r="B27" s="182" t="s">
        <v>2613</v>
      </c>
      <c r="C27" s="182" t="s">
        <v>152</v>
      </c>
      <c r="D27" s="182" t="s">
        <v>121</v>
      </c>
      <c r="E27" s="182">
        <v>5000</v>
      </c>
      <c r="F27" s="325">
        <f t="shared" si="0"/>
        <v>8.9135775178182417</v>
      </c>
      <c r="G27" s="326">
        <v>560.94200000000001</v>
      </c>
      <c r="H27" s="182" t="s">
        <v>317</v>
      </c>
      <c r="I27" s="182" t="s">
        <v>2631</v>
      </c>
      <c r="J27" s="182" t="s">
        <v>98</v>
      </c>
      <c r="K27" s="438" t="s">
        <v>1902</v>
      </c>
      <c r="L27" s="182" t="s">
        <v>155</v>
      </c>
      <c r="M27" s="538"/>
      <c r="N27" s="538"/>
      <c r="O27" s="538"/>
      <c r="P27" s="544"/>
    </row>
    <row r="28" spans="1:16" s="433" customFormat="1">
      <c r="A28" s="505">
        <v>45876</v>
      </c>
      <c r="B28" s="182" t="s">
        <v>2648</v>
      </c>
      <c r="C28" s="182" t="s">
        <v>152</v>
      </c>
      <c r="D28" s="182" t="s">
        <v>121</v>
      </c>
      <c r="E28" s="496">
        <v>5000</v>
      </c>
      <c r="F28" s="325">
        <f t="shared" si="0"/>
        <v>8.9135775178182417</v>
      </c>
      <c r="G28" s="326">
        <v>560.94200000000001</v>
      </c>
      <c r="H28" s="182" t="s">
        <v>323</v>
      </c>
      <c r="I28" s="182" t="s">
        <v>2669</v>
      </c>
      <c r="J28" s="182" t="s">
        <v>98</v>
      </c>
      <c r="K28" s="438" t="s">
        <v>1902</v>
      </c>
      <c r="L28" s="182" t="s">
        <v>155</v>
      </c>
      <c r="M28" s="538"/>
      <c r="N28" s="538"/>
      <c r="O28" s="538"/>
      <c r="P28" s="544"/>
    </row>
    <row r="29" spans="1:16" s="433" customFormat="1">
      <c r="A29" s="508">
        <v>45876</v>
      </c>
      <c r="B29" s="182" t="s">
        <v>2887</v>
      </c>
      <c r="C29" s="182" t="s">
        <v>304</v>
      </c>
      <c r="D29" s="439" t="s">
        <v>118</v>
      </c>
      <c r="E29" s="435">
        <v>260000</v>
      </c>
      <c r="F29" s="325">
        <f t="shared" si="0"/>
        <v>463.50603092654853</v>
      </c>
      <c r="G29" s="326">
        <v>560.94200000000001</v>
      </c>
      <c r="H29" s="182" t="s">
        <v>148</v>
      </c>
      <c r="I29" s="182" t="s">
        <v>2911</v>
      </c>
      <c r="J29" s="182" t="s">
        <v>98</v>
      </c>
      <c r="K29" s="438" t="s">
        <v>1902</v>
      </c>
      <c r="L29" s="182" t="s">
        <v>155</v>
      </c>
      <c r="M29" s="538"/>
      <c r="N29" s="538"/>
      <c r="O29" s="538"/>
      <c r="P29" s="544"/>
    </row>
    <row r="30" spans="1:16" s="433" customFormat="1">
      <c r="A30" s="535">
        <v>45877</v>
      </c>
      <c r="B30" s="517" t="s">
        <v>2099</v>
      </c>
      <c r="C30" s="308" t="s">
        <v>174</v>
      </c>
      <c r="D30" s="308" t="s">
        <v>119</v>
      </c>
      <c r="E30" s="517">
        <v>1000</v>
      </c>
      <c r="F30" s="325">
        <f t="shared" si="0"/>
        <v>1.7827155035636482</v>
      </c>
      <c r="G30" s="326">
        <v>560.94200000000001</v>
      </c>
      <c r="H30" s="524" t="s">
        <v>153</v>
      </c>
      <c r="I30" s="525" t="s">
        <v>2494</v>
      </c>
      <c r="J30" s="182" t="s">
        <v>98</v>
      </c>
      <c r="K30" s="438" t="s">
        <v>1902</v>
      </c>
      <c r="L30" s="182" t="s">
        <v>155</v>
      </c>
      <c r="M30" s="438"/>
      <c r="N30" s="438"/>
      <c r="O30" s="438"/>
      <c r="P30" s="544"/>
    </row>
    <row r="31" spans="1:16" s="433" customFormat="1">
      <c r="A31" s="535">
        <v>45877</v>
      </c>
      <c r="B31" s="517" t="s">
        <v>2100</v>
      </c>
      <c r="C31" s="308" t="s">
        <v>174</v>
      </c>
      <c r="D31" s="308" t="s">
        <v>119</v>
      </c>
      <c r="E31" s="517">
        <v>1000</v>
      </c>
      <c r="F31" s="325">
        <f t="shared" si="0"/>
        <v>1.7827155035636482</v>
      </c>
      <c r="G31" s="326">
        <v>560.94200000000001</v>
      </c>
      <c r="H31" s="524" t="s">
        <v>153</v>
      </c>
      <c r="I31" s="525" t="s">
        <v>2494</v>
      </c>
      <c r="J31" s="182" t="s">
        <v>98</v>
      </c>
      <c r="K31" s="438" t="s">
        <v>1902</v>
      </c>
      <c r="L31" s="182" t="s">
        <v>155</v>
      </c>
      <c r="M31" s="438"/>
      <c r="N31" s="438"/>
      <c r="O31" s="438"/>
      <c r="P31" s="544"/>
    </row>
    <row r="32" spans="1:16" s="433" customFormat="1">
      <c r="A32" s="504">
        <v>45877</v>
      </c>
      <c r="B32" s="182" t="s">
        <v>2502</v>
      </c>
      <c r="C32" s="182" t="s">
        <v>174</v>
      </c>
      <c r="D32" s="182" t="s">
        <v>118</v>
      </c>
      <c r="E32" s="435">
        <v>1000</v>
      </c>
      <c r="F32" s="325">
        <f t="shared" si="0"/>
        <v>1.7827155035636482</v>
      </c>
      <c r="G32" s="326">
        <v>560.94200000000001</v>
      </c>
      <c r="H32" s="182" t="s">
        <v>583</v>
      </c>
      <c r="I32" s="182" t="s">
        <v>2536</v>
      </c>
      <c r="J32" s="182" t="s">
        <v>98</v>
      </c>
      <c r="K32" s="438" t="s">
        <v>1902</v>
      </c>
      <c r="L32" s="182" t="s">
        <v>155</v>
      </c>
      <c r="M32" s="438"/>
      <c r="N32" s="438"/>
      <c r="O32" s="438"/>
      <c r="P32" s="544"/>
    </row>
    <row r="33" spans="1:16" s="433" customFormat="1">
      <c r="A33" s="504">
        <v>45877</v>
      </c>
      <c r="B33" s="182" t="s">
        <v>2503</v>
      </c>
      <c r="C33" s="182" t="s">
        <v>174</v>
      </c>
      <c r="D33" s="182" t="s">
        <v>118</v>
      </c>
      <c r="E33" s="435">
        <v>1500</v>
      </c>
      <c r="F33" s="325">
        <f t="shared" si="0"/>
        <v>2.6740732553454722</v>
      </c>
      <c r="G33" s="326">
        <v>560.94200000000001</v>
      </c>
      <c r="H33" s="182" t="s">
        <v>583</v>
      </c>
      <c r="I33" s="182" t="s">
        <v>2536</v>
      </c>
      <c r="J33" s="182" t="s">
        <v>98</v>
      </c>
      <c r="K33" s="438" t="s">
        <v>1902</v>
      </c>
      <c r="L33" s="182" t="s">
        <v>155</v>
      </c>
      <c r="M33" s="438"/>
      <c r="N33" s="438"/>
      <c r="O33" s="438"/>
      <c r="P33" s="544"/>
    </row>
    <row r="34" spans="1:16" s="433" customFormat="1">
      <c r="A34" s="535">
        <v>45880</v>
      </c>
      <c r="B34" s="517" t="s">
        <v>2099</v>
      </c>
      <c r="C34" s="308" t="s">
        <v>174</v>
      </c>
      <c r="D34" s="308" t="s">
        <v>119</v>
      </c>
      <c r="E34" s="517">
        <v>1000</v>
      </c>
      <c r="F34" s="325">
        <f t="shared" ref="F34:F65" si="1">E34/G34</f>
        <v>1.7827155035636482</v>
      </c>
      <c r="G34" s="326">
        <v>560.94200000000001</v>
      </c>
      <c r="H34" s="524" t="s">
        <v>153</v>
      </c>
      <c r="I34" s="525" t="s">
        <v>2494</v>
      </c>
      <c r="J34" s="182" t="s">
        <v>98</v>
      </c>
      <c r="K34" s="438" t="s">
        <v>1902</v>
      </c>
      <c r="L34" s="182" t="s">
        <v>155</v>
      </c>
      <c r="M34" s="438"/>
      <c r="N34" s="438"/>
      <c r="O34" s="438"/>
      <c r="P34" s="544"/>
    </row>
    <row r="35" spans="1:16" s="433" customFormat="1">
      <c r="A35" s="535">
        <v>45880</v>
      </c>
      <c r="B35" s="517" t="s">
        <v>2100</v>
      </c>
      <c r="C35" s="308" t="s">
        <v>174</v>
      </c>
      <c r="D35" s="308" t="s">
        <v>119</v>
      </c>
      <c r="E35" s="517">
        <v>1000</v>
      </c>
      <c r="F35" s="325">
        <f t="shared" si="1"/>
        <v>1.7827155035636482</v>
      </c>
      <c r="G35" s="326">
        <v>560.94200000000001</v>
      </c>
      <c r="H35" s="524" t="s">
        <v>153</v>
      </c>
      <c r="I35" s="525" t="s">
        <v>2494</v>
      </c>
      <c r="J35" s="182" t="s">
        <v>98</v>
      </c>
      <c r="K35" s="438" t="s">
        <v>1902</v>
      </c>
      <c r="L35" s="182" t="s">
        <v>155</v>
      </c>
      <c r="M35" s="438"/>
      <c r="N35" s="438"/>
      <c r="O35" s="438"/>
      <c r="P35" s="544"/>
    </row>
    <row r="36" spans="1:16" s="433" customFormat="1">
      <c r="A36" s="504">
        <v>45880</v>
      </c>
      <c r="B36" s="182" t="s">
        <v>2502</v>
      </c>
      <c r="C36" s="182" t="s">
        <v>174</v>
      </c>
      <c r="D36" s="182" t="s">
        <v>118</v>
      </c>
      <c r="E36" s="435">
        <v>1500</v>
      </c>
      <c r="F36" s="325">
        <f t="shared" si="1"/>
        <v>2.6740732553454722</v>
      </c>
      <c r="G36" s="326">
        <v>560.94200000000001</v>
      </c>
      <c r="H36" s="182" t="s">
        <v>583</v>
      </c>
      <c r="I36" s="182" t="s">
        <v>2536</v>
      </c>
      <c r="J36" s="182" t="s">
        <v>98</v>
      </c>
      <c r="K36" s="438" t="s">
        <v>1902</v>
      </c>
      <c r="L36" s="182" t="s">
        <v>155</v>
      </c>
      <c r="M36" s="438"/>
      <c r="N36" s="438"/>
      <c r="O36" s="438"/>
      <c r="P36" s="544"/>
    </row>
    <row r="37" spans="1:16" s="433" customFormat="1">
      <c r="A37" s="504">
        <v>45880</v>
      </c>
      <c r="B37" s="182" t="s">
        <v>2503</v>
      </c>
      <c r="C37" s="182" t="s">
        <v>174</v>
      </c>
      <c r="D37" s="182" t="s">
        <v>118</v>
      </c>
      <c r="E37" s="435">
        <v>2000</v>
      </c>
      <c r="F37" s="325">
        <f t="shared" si="1"/>
        <v>3.5654310071272963</v>
      </c>
      <c r="G37" s="326">
        <v>560.94200000000001</v>
      </c>
      <c r="H37" s="182" t="s">
        <v>583</v>
      </c>
      <c r="I37" s="182" t="s">
        <v>2536</v>
      </c>
      <c r="J37" s="182" t="s">
        <v>98</v>
      </c>
      <c r="K37" s="438" t="s">
        <v>1902</v>
      </c>
      <c r="L37" s="182" t="s">
        <v>155</v>
      </c>
      <c r="M37" s="438"/>
      <c r="N37" s="438"/>
      <c r="O37" s="438"/>
      <c r="P37" s="544"/>
    </row>
    <row r="38" spans="1:16" s="433" customFormat="1">
      <c r="A38" s="467">
        <v>45880</v>
      </c>
      <c r="B38" s="177" t="s">
        <v>2541</v>
      </c>
      <c r="C38" s="177" t="s">
        <v>174</v>
      </c>
      <c r="D38" s="177" t="s">
        <v>121</v>
      </c>
      <c r="E38" s="177">
        <v>1000</v>
      </c>
      <c r="F38" s="325">
        <f t="shared" si="1"/>
        <v>1.7827155035636482</v>
      </c>
      <c r="G38" s="326">
        <v>560.94200000000001</v>
      </c>
      <c r="H38" s="177" t="s">
        <v>184</v>
      </c>
      <c r="I38" s="177" t="s">
        <v>2558</v>
      </c>
      <c r="J38" s="182" t="s">
        <v>98</v>
      </c>
      <c r="K38" s="438" t="s">
        <v>1902</v>
      </c>
      <c r="L38" s="182" t="s">
        <v>155</v>
      </c>
      <c r="M38" s="438"/>
      <c r="N38" s="438"/>
      <c r="O38" s="438"/>
      <c r="P38" s="544"/>
    </row>
    <row r="39" spans="1:16" s="433" customFormat="1">
      <c r="A39" s="467">
        <v>45880</v>
      </c>
      <c r="B39" s="177" t="s">
        <v>2542</v>
      </c>
      <c r="C39" s="177" t="s">
        <v>174</v>
      </c>
      <c r="D39" s="177" t="s">
        <v>121</v>
      </c>
      <c r="E39" s="177">
        <v>1000</v>
      </c>
      <c r="F39" s="325">
        <f t="shared" si="1"/>
        <v>1.7827155035636482</v>
      </c>
      <c r="G39" s="326">
        <v>560.94200000000001</v>
      </c>
      <c r="H39" s="177" t="s">
        <v>184</v>
      </c>
      <c r="I39" s="177" t="s">
        <v>2558</v>
      </c>
      <c r="J39" s="182" t="s">
        <v>98</v>
      </c>
      <c r="K39" s="438" t="s">
        <v>1902</v>
      </c>
      <c r="L39" s="182" t="s">
        <v>155</v>
      </c>
      <c r="M39" s="438"/>
      <c r="N39" s="438"/>
      <c r="O39" s="438"/>
      <c r="P39" s="544"/>
    </row>
    <row r="40" spans="1:16" s="433" customFormat="1">
      <c r="A40" s="467">
        <v>45880</v>
      </c>
      <c r="B40" s="177" t="s">
        <v>2543</v>
      </c>
      <c r="C40" s="177" t="s">
        <v>174</v>
      </c>
      <c r="D40" s="177" t="s">
        <v>121</v>
      </c>
      <c r="E40" s="177">
        <v>1000</v>
      </c>
      <c r="F40" s="325">
        <f t="shared" si="1"/>
        <v>1.7827155035636482</v>
      </c>
      <c r="G40" s="326">
        <v>560.94200000000001</v>
      </c>
      <c r="H40" s="177" t="s">
        <v>184</v>
      </c>
      <c r="I40" s="177" t="s">
        <v>2558</v>
      </c>
      <c r="J40" s="182" t="s">
        <v>98</v>
      </c>
      <c r="K40" s="438" t="s">
        <v>1902</v>
      </c>
      <c r="L40" s="182" t="s">
        <v>155</v>
      </c>
      <c r="M40" s="438"/>
      <c r="N40" s="438"/>
      <c r="O40" s="438"/>
      <c r="P40" s="544"/>
    </row>
    <row r="41" spans="1:16" s="433" customFormat="1">
      <c r="A41" s="467">
        <v>45880</v>
      </c>
      <c r="B41" s="177" t="s">
        <v>2544</v>
      </c>
      <c r="C41" s="177" t="s">
        <v>174</v>
      </c>
      <c r="D41" s="177" t="s">
        <v>121</v>
      </c>
      <c r="E41" s="177">
        <v>1500</v>
      </c>
      <c r="F41" s="325">
        <f t="shared" si="1"/>
        <v>2.6740732553454722</v>
      </c>
      <c r="G41" s="326">
        <v>560.94200000000001</v>
      </c>
      <c r="H41" s="177" t="s">
        <v>184</v>
      </c>
      <c r="I41" s="177" t="s">
        <v>2558</v>
      </c>
      <c r="J41" s="182" t="s">
        <v>98</v>
      </c>
      <c r="K41" s="438" t="s">
        <v>1902</v>
      </c>
      <c r="L41" s="182" t="s">
        <v>155</v>
      </c>
      <c r="M41" s="438"/>
      <c r="N41" s="438"/>
      <c r="O41" s="438"/>
      <c r="P41" s="544"/>
    </row>
    <row r="42" spans="1:16" s="433" customFormat="1">
      <c r="A42" s="467">
        <v>45880</v>
      </c>
      <c r="B42" s="177" t="s">
        <v>2552</v>
      </c>
      <c r="C42" s="177" t="s">
        <v>368</v>
      </c>
      <c r="D42" s="177" t="s">
        <v>121</v>
      </c>
      <c r="E42" s="177">
        <v>1000</v>
      </c>
      <c r="F42" s="325">
        <f t="shared" si="1"/>
        <v>1.7827155035636482</v>
      </c>
      <c r="G42" s="326">
        <v>560.94200000000001</v>
      </c>
      <c r="H42" s="177" t="s">
        <v>184</v>
      </c>
      <c r="I42" s="177" t="s">
        <v>2559</v>
      </c>
      <c r="J42" s="182" t="s">
        <v>98</v>
      </c>
      <c r="K42" s="438" t="s">
        <v>1902</v>
      </c>
      <c r="L42" s="182" t="s">
        <v>155</v>
      </c>
      <c r="M42" s="438"/>
      <c r="N42" s="438"/>
      <c r="O42" s="438"/>
      <c r="P42" s="544"/>
    </row>
    <row r="43" spans="1:16" s="433" customFormat="1">
      <c r="A43" s="505">
        <v>45880</v>
      </c>
      <c r="B43" s="182" t="s">
        <v>2605</v>
      </c>
      <c r="C43" s="182" t="s">
        <v>174</v>
      </c>
      <c r="D43" s="177" t="s">
        <v>121</v>
      </c>
      <c r="E43" s="182">
        <v>1000</v>
      </c>
      <c r="F43" s="325">
        <f t="shared" si="1"/>
        <v>1.7827155035636482</v>
      </c>
      <c r="G43" s="326">
        <v>560.94200000000001</v>
      </c>
      <c r="H43" s="182" t="s">
        <v>175</v>
      </c>
      <c r="I43" s="182" t="s">
        <v>2588</v>
      </c>
      <c r="J43" s="182" t="s">
        <v>98</v>
      </c>
      <c r="K43" s="438" t="s">
        <v>1902</v>
      </c>
      <c r="L43" s="182" t="s">
        <v>155</v>
      </c>
      <c r="M43" s="538"/>
      <c r="N43" s="538"/>
      <c r="O43" s="538"/>
      <c r="P43" s="544"/>
    </row>
    <row r="44" spans="1:16" s="433" customFormat="1">
      <c r="A44" s="505">
        <v>45880</v>
      </c>
      <c r="B44" s="182" t="s">
        <v>2606</v>
      </c>
      <c r="C44" s="182" t="s">
        <v>174</v>
      </c>
      <c r="D44" s="177" t="s">
        <v>121</v>
      </c>
      <c r="E44" s="182">
        <v>1000</v>
      </c>
      <c r="F44" s="325">
        <f t="shared" si="1"/>
        <v>1.7827155035636482</v>
      </c>
      <c r="G44" s="326">
        <v>560.94200000000001</v>
      </c>
      <c r="H44" s="182" t="s">
        <v>175</v>
      </c>
      <c r="I44" s="182" t="s">
        <v>2588</v>
      </c>
      <c r="J44" s="182" t="s">
        <v>98</v>
      </c>
      <c r="K44" s="438" t="s">
        <v>1902</v>
      </c>
      <c r="L44" s="182" t="s">
        <v>155</v>
      </c>
      <c r="M44" s="538"/>
      <c r="N44" s="538"/>
      <c r="O44" s="538"/>
      <c r="P44" s="544"/>
    </row>
    <row r="45" spans="1:16" s="433" customFormat="1">
      <c r="A45" s="505">
        <v>45880</v>
      </c>
      <c r="B45" s="182" t="s">
        <v>2579</v>
      </c>
      <c r="C45" s="182" t="s">
        <v>174</v>
      </c>
      <c r="D45" s="177" t="s">
        <v>121</v>
      </c>
      <c r="E45" s="182">
        <v>1000</v>
      </c>
      <c r="F45" s="325">
        <f t="shared" si="1"/>
        <v>1.7827155035636482</v>
      </c>
      <c r="G45" s="326">
        <v>560.94200000000001</v>
      </c>
      <c r="H45" s="182" t="s">
        <v>175</v>
      </c>
      <c r="I45" s="182" t="s">
        <v>2588</v>
      </c>
      <c r="J45" s="182" t="s">
        <v>98</v>
      </c>
      <c r="K45" s="438" t="s">
        <v>1902</v>
      </c>
      <c r="L45" s="182" t="s">
        <v>155</v>
      </c>
      <c r="M45" s="538"/>
      <c r="N45" s="538"/>
      <c r="O45" s="538"/>
      <c r="P45" s="544"/>
    </row>
    <row r="46" spans="1:16" s="433" customFormat="1">
      <c r="A46" s="505">
        <v>45880</v>
      </c>
      <c r="B46" s="182" t="s">
        <v>2614</v>
      </c>
      <c r="C46" s="182" t="s">
        <v>174</v>
      </c>
      <c r="D46" s="182" t="s">
        <v>121</v>
      </c>
      <c r="E46" s="182">
        <v>1000</v>
      </c>
      <c r="F46" s="325">
        <f t="shared" si="1"/>
        <v>1.7827155035636482</v>
      </c>
      <c r="G46" s="326">
        <v>560.94200000000001</v>
      </c>
      <c r="H46" s="182" t="s">
        <v>317</v>
      </c>
      <c r="I46" s="182" t="s">
        <v>2632</v>
      </c>
      <c r="J46" s="182" t="s">
        <v>98</v>
      </c>
      <c r="K46" s="438" t="s">
        <v>1902</v>
      </c>
      <c r="L46" s="182" t="s">
        <v>155</v>
      </c>
      <c r="M46" s="538"/>
      <c r="N46" s="538"/>
      <c r="O46" s="538"/>
      <c r="P46" s="544"/>
    </row>
    <row r="47" spans="1:16" s="433" customFormat="1">
      <c r="A47" s="505">
        <v>45880</v>
      </c>
      <c r="B47" s="182" t="s">
        <v>2615</v>
      </c>
      <c r="C47" s="182" t="s">
        <v>174</v>
      </c>
      <c r="D47" s="182" t="s">
        <v>121</v>
      </c>
      <c r="E47" s="182">
        <v>2000</v>
      </c>
      <c r="F47" s="325">
        <f t="shared" si="1"/>
        <v>3.5654310071272963</v>
      </c>
      <c r="G47" s="326">
        <v>560.94200000000001</v>
      </c>
      <c r="H47" s="182" t="s">
        <v>317</v>
      </c>
      <c r="I47" s="182" t="s">
        <v>2632</v>
      </c>
      <c r="J47" s="182" t="s">
        <v>98</v>
      </c>
      <c r="K47" s="438" t="s">
        <v>1902</v>
      </c>
      <c r="L47" s="182" t="s">
        <v>155</v>
      </c>
      <c r="M47" s="538"/>
      <c r="N47" s="538"/>
      <c r="O47" s="538"/>
      <c r="P47" s="544"/>
    </row>
    <row r="48" spans="1:16" s="433" customFormat="1">
      <c r="A48" s="505">
        <v>45880</v>
      </c>
      <c r="B48" s="182" t="s">
        <v>2616</v>
      </c>
      <c r="C48" s="182" t="s">
        <v>174</v>
      </c>
      <c r="D48" s="182" t="s">
        <v>121</v>
      </c>
      <c r="E48" s="182">
        <v>2500</v>
      </c>
      <c r="F48" s="325">
        <f t="shared" si="1"/>
        <v>4.4567887589091209</v>
      </c>
      <c r="G48" s="326">
        <v>560.94200000000001</v>
      </c>
      <c r="H48" s="182" t="s">
        <v>317</v>
      </c>
      <c r="I48" s="182" t="s">
        <v>2632</v>
      </c>
      <c r="J48" s="182" t="s">
        <v>98</v>
      </c>
      <c r="K48" s="438" t="s">
        <v>1902</v>
      </c>
      <c r="L48" s="182" t="s">
        <v>155</v>
      </c>
      <c r="M48" s="538"/>
      <c r="N48" s="538"/>
      <c r="O48" s="538"/>
      <c r="P48" s="544"/>
    </row>
    <row r="49" spans="1:16" s="433" customFormat="1">
      <c r="A49" s="505">
        <v>45880</v>
      </c>
      <c r="B49" s="182" t="s">
        <v>2650</v>
      </c>
      <c r="C49" s="182" t="s">
        <v>174</v>
      </c>
      <c r="D49" s="182" t="s">
        <v>121</v>
      </c>
      <c r="E49" s="496">
        <v>1000</v>
      </c>
      <c r="F49" s="325">
        <f t="shared" si="1"/>
        <v>1.7827155035636482</v>
      </c>
      <c r="G49" s="326">
        <v>560.94200000000001</v>
      </c>
      <c r="H49" s="182" t="s">
        <v>323</v>
      </c>
      <c r="I49" s="182" t="s">
        <v>2671</v>
      </c>
      <c r="J49" s="182" t="s">
        <v>98</v>
      </c>
      <c r="K49" s="438" t="s">
        <v>1902</v>
      </c>
      <c r="L49" s="182" t="s">
        <v>155</v>
      </c>
      <c r="M49" s="538"/>
      <c r="N49" s="538"/>
      <c r="O49" s="538"/>
      <c r="P49" s="544"/>
    </row>
    <row r="50" spans="1:16" s="433" customFormat="1">
      <c r="A50" s="505">
        <v>45880</v>
      </c>
      <c r="B50" s="182" t="s">
        <v>2651</v>
      </c>
      <c r="C50" s="182" t="s">
        <v>174</v>
      </c>
      <c r="D50" s="182" t="s">
        <v>121</v>
      </c>
      <c r="E50" s="496">
        <v>1000</v>
      </c>
      <c r="F50" s="325">
        <f t="shared" si="1"/>
        <v>1.7827155035636482</v>
      </c>
      <c r="G50" s="326">
        <v>560.94200000000001</v>
      </c>
      <c r="H50" s="182" t="s">
        <v>323</v>
      </c>
      <c r="I50" s="182" t="s">
        <v>2671</v>
      </c>
      <c r="J50" s="182" t="s">
        <v>98</v>
      </c>
      <c r="K50" s="438" t="s">
        <v>1902</v>
      </c>
      <c r="L50" s="182" t="s">
        <v>155</v>
      </c>
      <c r="M50" s="538"/>
      <c r="N50" s="538"/>
      <c r="O50" s="538"/>
      <c r="P50" s="544"/>
    </row>
    <row r="51" spans="1:16" s="433" customFormat="1">
      <c r="A51" s="535">
        <v>45881</v>
      </c>
      <c r="B51" s="517" t="s">
        <v>2099</v>
      </c>
      <c r="C51" s="308" t="s">
        <v>174</v>
      </c>
      <c r="D51" s="308" t="s">
        <v>119</v>
      </c>
      <c r="E51" s="517">
        <v>1000</v>
      </c>
      <c r="F51" s="325">
        <f t="shared" si="1"/>
        <v>1.7827155035636482</v>
      </c>
      <c r="G51" s="326">
        <v>560.94200000000001</v>
      </c>
      <c r="H51" s="524" t="s">
        <v>153</v>
      </c>
      <c r="I51" s="525" t="s">
        <v>2494</v>
      </c>
      <c r="J51" s="182" t="s">
        <v>98</v>
      </c>
      <c r="K51" s="438" t="s">
        <v>1902</v>
      </c>
      <c r="L51" s="182" t="s">
        <v>155</v>
      </c>
      <c r="M51" s="438"/>
      <c r="N51" s="438"/>
      <c r="O51" s="438"/>
      <c r="P51" s="544"/>
    </row>
    <row r="52" spans="1:16" s="433" customFormat="1">
      <c r="A52" s="535">
        <v>45881</v>
      </c>
      <c r="B52" s="517" t="s">
        <v>2100</v>
      </c>
      <c r="C52" s="308" t="s">
        <v>174</v>
      </c>
      <c r="D52" s="308" t="s">
        <v>119</v>
      </c>
      <c r="E52" s="517">
        <v>1000</v>
      </c>
      <c r="F52" s="325">
        <f t="shared" si="1"/>
        <v>1.7827155035636482</v>
      </c>
      <c r="G52" s="326">
        <v>560.94200000000001</v>
      </c>
      <c r="H52" s="524" t="s">
        <v>153</v>
      </c>
      <c r="I52" s="525" t="s">
        <v>2494</v>
      </c>
      <c r="J52" s="182" t="s">
        <v>98</v>
      </c>
      <c r="K52" s="438" t="s">
        <v>1902</v>
      </c>
      <c r="L52" s="182" t="s">
        <v>155</v>
      </c>
      <c r="M52" s="438"/>
      <c r="N52" s="438"/>
      <c r="O52" s="438"/>
      <c r="P52" s="544"/>
    </row>
    <row r="53" spans="1:16" s="433" customFormat="1">
      <c r="A53" s="505">
        <v>45881</v>
      </c>
      <c r="B53" s="182" t="s">
        <v>2607</v>
      </c>
      <c r="C53" s="182" t="s">
        <v>174</v>
      </c>
      <c r="D53" s="177" t="s">
        <v>121</v>
      </c>
      <c r="E53" s="182">
        <v>1000</v>
      </c>
      <c r="F53" s="325">
        <f t="shared" si="1"/>
        <v>1.7827155035636482</v>
      </c>
      <c r="G53" s="326">
        <v>560.94200000000001</v>
      </c>
      <c r="H53" s="182" t="s">
        <v>175</v>
      </c>
      <c r="I53" s="182" t="s">
        <v>2588</v>
      </c>
      <c r="J53" s="182" t="s">
        <v>98</v>
      </c>
      <c r="K53" s="438" t="s">
        <v>1902</v>
      </c>
      <c r="L53" s="182" t="s">
        <v>155</v>
      </c>
      <c r="M53" s="538"/>
      <c r="N53" s="538"/>
      <c r="O53" s="538"/>
      <c r="P53" s="544"/>
    </row>
    <row r="54" spans="1:16" s="546" customFormat="1">
      <c r="A54" s="505">
        <v>45881</v>
      </c>
      <c r="B54" s="182" t="s">
        <v>2608</v>
      </c>
      <c r="C54" s="182" t="s">
        <v>174</v>
      </c>
      <c r="D54" s="177" t="s">
        <v>121</v>
      </c>
      <c r="E54" s="182">
        <v>1000</v>
      </c>
      <c r="F54" s="325">
        <f t="shared" si="1"/>
        <v>1.7827155035636482</v>
      </c>
      <c r="G54" s="326">
        <v>560.94200000000001</v>
      </c>
      <c r="H54" s="182" t="s">
        <v>175</v>
      </c>
      <c r="I54" s="182" t="s">
        <v>2588</v>
      </c>
      <c r="J54" s="182" t="s">
        <v>98</v>
      </c>
      <c r="K54" s="438" t="s">
        <v>1902</v>
      </c>
      <c r="L54" s="182" t="s">
        <v>155</v>
      </c>
      <c r="M54" s="538"/>
      <c r="N54" s="538"/>
      <c r="O54" s="538"/>
      <c r="P54" s="545"/>
    </row>
    <row r="55" spans="1:16" s="546" customFormat="1">
      <c r="A55" s="505">
        <v>45881</v>
      </c>
      <c r="B55" s="182" t="s">
        <v>2609</v>
      </c>
      <c r="C55" s="182" t="s">
        <v>174</v>
      </c>
      <c r="D55" s="177" t="s">
        <v>121</v>
      </c>
      <c r="E55" s="182">
        <v>1000</v>
      </c>
      <c r="F55" s="325">
        <f t="shared" si="1"/>
        <v>1.7827155035636482</v>
      </c>
      <c r="G55" s="326">
        <v>560.94200000000001</v>
      </c>
      <c r="H55" s="182" t="s">
        <v>175</v>
      </c>
      <c r="I55" s="182" t="s">
        <v>2588</v>
      </c>
      <c r="J55" s="182" t="s">
        <v>98</v>
      </c>
      <c r="K55" s="438" t="s">
        <v>1902</v>
      </c>
      <c r="L55" s="182" t="s">
        <v>155</v>
      </c>
      <c r="M55" s="538"/>
      <c r="N55" s="538"/>
      <c r="O55" s="538"/>
      <c r="P55" s="545"/>
    </row>
    <row r="56" spans="1:16" s="433" customFormat="1">
      <c r="A56" s="505">
        <v>45881</v>
      </c>
      <c r="B56" s="182" t="s">
        <v>2610</v>
      </c>
      <c r="C56" s="182" t="s">
        <v>174</v>
      </c>
      <c r="D56" s="177" t="s">
        <v>121</v>
      </c>
      <c r="E56" s="182">
        <v>1000</v>
      </c>
      <c r="F56" s="325">
        <f t="shared" si="1"/>
        <v>1.7827155035636482</v>
      </c>
      <c r="G56" s="326">
        <v>560.94200000000001</v>
      </c>
      <c r="H56" s="182" t="s">
        <v>175</v>
      </c>
      <c r="I56" s="182" t="s">
        <v>2588</v>
      </c>
      <c r="J56" s="182" t="s">
        <v>98</v>
      </c>
      <c r="K56" s="438" t="s">
        <v>1902</v>
      </c>
      <c r="L56" s="182" t="s">
        <v>155</v>
      </c>
      <c r="M56" s="538"/>
      <c r="N56" s="538"/>
      <c r="O56" s="538"/>
      <c r="P56" s="544"/>
    </row>
    <row r="57" spans="1:16" s="433" customFormat="1">
      <c r="A57" s="505">
        <v>45881</v>
      </c>
      <c r="B57" s="182" t="s">
        <v>2581</v>
      </c>
      <c r="C57" s="182" t="s">
        <v>368</v>
      </c>
      <c r="D57" s="177" t="s">
        <v>121</v>
      </c>
      <c r="E57" s="182">
        <v>2000</v>
      </c>
      <c r="F57" s="325">
        <f t="shared" si="1"/>
        <v>3.5654310071272963</v>
      </c>
      <c r="G57" s="326">
        <v>560.94200000000001</v>
      </c>
      <c r="H57" s="182" t="s">
        <v>175</v>
      </c>
      <c r="I57" s="182" t="s">
        <v>2590</v>
      </c>
      <c r="J57" s="182" t="s">
        <v>98</v>
      </c>
      <c r="K57" s="438" t="s">
        <v>1902</v>
      </c>
      <c r="L57" s="182" t="s">
        <v>155</v>
      </c>
      <c r="M57" s="538"/>
      <c r="N57" s="538"/>
      <c r="O57" s="538"/>
      <c r="P57" s="544"/>
    </row>
    <row r="58" spans="1:16" s="433" customFormat="1">
      <c r="A58" s="505">
        <v>45881</v>
      </c>
      <c r="B58" s="182" t="s">
        <v>2618</v>
      </c>
      <c r="C58" s="182" t="s">
        <v>174</v>
      </c>
      <c r="D58" s="182" t="s">
        <v>121</v>
      </c>
      <c r="E58" s="182">
        <v>1000</v>
      </c>
      <c r="F58" s="325">
        <f t="shared" si="1"/>
        <v>1.7827155035636482</v>
      </c>
      <c r="G58" s="326">
        <v>560.94200000000001</v>
      </c>
      <c r="H58" s="182" t="s">
        <v>317</v>
      </c>
      <c r="I58" s="182" t="s">
        <v>2632</v>
      </c>
      <c r="J58" s="182" t="s">
        <v>98</v>
      </c>
      <c r="K58" s="438" t="s">
        <v>1902</v>
      </c>
      <c r="L58" s="182" t="s">
        <v>155</v>
      </c>
      <c r="M58" s="538"/>
      <c r="N58" s="538"/>
      <c r="O58" s="538"/>
      <c r="P58" s="544"/>
    </row>
    <row r="59" spans="1:16" s="433" customFormat="1">
      <c r="A59" s="505">
        <v>45881</v>
      </c>
      <c r="B59" s="182" t="s">
        <v>2619</v>
      </c>
      <c r="C59" s="182" t="s">
        <v>174</v>
      </c>
      <c r="D59" s="182" t="s">
        <v>121</v>
      </c>
      <c r="E59" s="182">
        <v>1500</v>
      </c>
      <c r="F59" s="325">
        <f t="shared" si="1"/>
        <v>2.6740732553454722</v>
      </c>
      <c r="G59" s="326">
        <v>560.94200000000001</v>
      </c>
      <c r="H59" s="182" t="s">
        <v>317</v>
      </c>
      <c r="I59" s="182" t="s">
        <v>2632</v>
      </c>
      <c r="J59" s="182" t="s">
        <v>98</v>
      </c>
      <c r="K59" s="438" t="s">
        <v>1902</v>
      </c>
      <c r="L59" s="182" t="s">
        <v>155</v>
      </c>
      <c r="M59" s="538"/>
      <c r="N59" s="538"/>
      <c r="O59" s="538"/>
      <c r="P59" s="544"/>
    </row>
    <row r="60" spans="1:16" s="433" customFormat="1">
      <c r="A60" s="505">
        <v>45881</v>
      </c>
      <c r="B60" s="182" t="s">
        <v>2620</v>
      </c>
      <c r="C60" s="182" t="s">
        <v>174</v>
      </c>
      <c r="D60" s="182" t="s">
        <v>121</v>
      </c>
      <c r="E60" s="182">
        <v>2500</v>
      </c>
      <c r="F60" s="325">
        <f t="shared" si="1"/>
        <v>4.4567887589091209</v>
      </c>
      <c r="G60" s="326">
        <v>560.94200000000001</v>
      </c>
      <c r="H60" s="182" t="s">
        <v>317</v>
      </c>
      <c r="I60" s="182" t="s">
        <v>2632</v>
      </c>
      <c r="J60" s="182" t="s">
        <v>98</v>
      </c>
      <c r="K60" s="438" t="s">
        <v>1902</v>
      </c>
      <c r="L60" s="182" t="s">
        <v>155</v>
      </c>
      <c r="M60" s="538"/>
      <c r="N60" s="538"/>
      <c r="O60" s="538"/>
      <c r="P60" s="544"/>
    </row>
    <row r="61" spans="1:16" s="433" customFormat="1">
      <c r="A61" s="505">
        <v>45881</v>
      </c>
      <c r="B61" s="182" t="s">
        <v>2652</v>
      </c>
      <c r="C61" s="182" t="s">
        <v>174</v>
      </c>
      <c r="D61" s="182" t="s">
        <v>121</v>
      </c>
      <c r="E61" s="496">
        <v>1000</v>
      </c>
      <c r="F61" s="325">
        <f t="shared" si="1"/>
        <v>1.7827155035636482</v>
      </c>
      <c r="G61" s="326">
        <v>560.94200000000001</v>
      </c>
      <c r="H61" s="182" t="s">
        <v>323</v>
      </c>
      <c r="I61" s="182" t="s">
        <v>2671</v>
      </c>
      <c r="J61" s="182" t="s">
        <v>98</v>
      </c>
      <c r="K61" s="438" t="s">
        <v>1902</v>
      </c>
      <c r="L61" s="182" t="s">
        <v>155</v>
      </c>
      <c r="M61" s="538"/>
      <c r="N61" s="538"/>
      <c r="O61" s="538"/>
      <c r="P61" s="544"/>
    </row>
    <row r="62" spans="1:16" s="433" customFormat="1">
      <c r="A62" s="505">
        <v>45881</v>
      </c>
      <c r="B62" s="182" t="s">
        <v>2653</v>
      </c>
      <c r="C62" s="182" t="s">
        <v>174</v>
      </c>
      <c r="D62" s="182" t="s">
        <v>121</v>
      </c>
      <c r="E62" s="496">
        <v>1000</v>
      </c>
      <c r="F62" s="325">
        <f t="shared" si="1"/>
        <v>1.7827155035636482</v>
      </c>
      <c r="G62" s="326">
        <v>560.94200000000001</v>
      </c>
      <c r="H62" s="182" t="s">
        <v>323</v>
      </c>
      <c r="I62" s="182" t="s">
        <v>2671</v>
      </c>
      <c r="J62" s="182" t="s">
        <v>98</v>
      </c>
      <c r="K62" s="438" t="s">
        <v>1902</v>
      </c>
      <c r="L62" s="182" t="s">
        <v>155</v>
      </c>
      <c r="M62" s="538"/>
      <c r="N62" s="538"/>
      <c r="O62" s="538"/>
      <c r="P62" s="544"/>
    </row>
    <row r="63" spans="1:16" s="433" customFormat="1">
      <c r="A63" s="505">
        <v>45881</v>
      </c>
      <c r="B63" s="182" t="s">
        <v>2654</v>
      </c>
      <c r="C63" s="182" t="s">
        <v>174</v>
      </c>
      <c r="D63" s="182" t="s">
        <v>121</v>
      </c>
      <c r="E63" s="496">
        <v>1000</v>
      </c>
      <c r="F63" s="325">
        <f t="shared" si="1"/>
        <v>1.7827155035636482</v>
      </c>
      <c r="G63" s="326">
        <v>560.94200000000001</v>
      </c>
      <c r="H63" s="182" t="s">
        <v>323</v>
      </c>
      <c r="I63" s="182" t="s">
        <v>2671</v>
      </c>
      <c r="J63" s="182" t="s">
        <v>98</v>
      </c>
      <c r="K63" s="438" t="s">
        <v>1902</v>
      </c>
      <c r="L63" s="182" t="s">
        <v>155</v>
      </c>
      <c r="M63" s="538"/>
      <c r="N63" s="538"/>
      <c r="O63" s="538"/>
      <c r="P63" s="544"/>
    </row>
    <row r="64" spans="1:16" s="433" customFormat="1">
      <c r="A64" s="505">
        <v>45881</v>
      </c>
      <c r="B64" s="182" t="s">
        <v>2655</v>
      </c>
      <c r="C64" s="182" t="s">
        <v>174</v>
      </c>
      <c r="D64" s="182" t="s">
        <v>121</v>
      </c>
      <c r="E64" s="496">
        <v>1000</v>
      </c>
      <c r="F64" s="325">
        <f t="shared" si="1"/>
        <v>1.7827155035636482</v>
      </c>
      <c r="G64" s="326">
        <v>560.94200000000001</v>
      </c>
      <c r="H64" s="182" t="s">
        <v>323</v>
      </c>
      <c r="I64" s="182" t="s">
        <v>2671</v>
      </c>
      <c r="J64" s="182" t="s">
        <v>98</v>
      </c>
      <c r="K64" s="438" t="s">
        <v>1902</v>
      </c>
      <c r="L64" s="182" t="s">
        <v>155</v>
      </c>
      <c r="M64" s="538"/>
      <c r="N64" s="538"/>
      <c r="O64" s="538"/>
      <c r="P64" s="544"/>
    </row>
    <row r="65" spans="1:16" s="546" customFormat="1">
      <c r="A65" s="535">
        <v>45882</v>
      </c>
      <c r="B65" s="517" t="s">
        <v>2099</v>
      </c>
      <c r="C65" s="308" t="s">
        <v>174</v>
      </c>
      <c r="D65" s="308" t="s">
        <v>119</v>
      </c>
      <c r="E65" s="517">
        <v>1000</v>
      </c>
      <c r="F65" s="325">
        <f t="shared" si="1"/>
        <v>1.7827155035636482</v>
      </c>
      <c r="G65" s="326">
        <v>560.94200000000001</v>
      </c>
      <c r="H65" s="524" t="s">
        <v>153</v>
      </c>
      <c r="I65" s="525" t="s">
        <v>2494</v>
      </c>
      <c r="J65" s="182" t="s">
        <v>98</v>
      </c>
      <c r="K65" s="438" t="s">
        <v>1902</v>
      </c>
      <c r="L65" s="182" t="s">
        <v>155</v>
      </c>
      <c r="M65" s="438"/>
      <c r="N65" s="438"/>
      <c r="O65" s="438"/>
      <c r="P65" s="545"/>
    </row>
    <row r="66" spans="1:16" s="433" customFormat="1">
      <c r="A66" s="535">
        <v>45882</v>
      </c>
      <c r="B66" s="517" t="s">
        <v>2100</v>
      </c>
      <c r="C66" s="308" t="s">
        <v>174</v>
      </c>
      <c r="D66" s="308" t="s">
        <v>119</v>
      </c>
      <c r="E66" s="517">
        <v>1000</v>
      </c>
      <c r="F66" s="325">
        <f t="shared" ref="F66" si="2">E66/G66</f>
        <v>1.7827155035636482</v>
      </c>
      <c r="G66" s="326">
        <v>560.94200000000001</v>
      </c>
      <c r="H66" s="524" t="s">
        <v>153</v>
      </c>
      <c r="I66" s="525" t="s">
        <v>2494</v>
      </c>
      <c r="J66" s="182" t="s">
        <v>98</v>
      </c>
      <c r="K66" s="438" t="s">
        <v>1902</v>
      </c>
      <c r="L66" s="182" t="s">
        <v>155</v>
      </c>
      <c r="M66" s="438"/>
      <c r="N66" s="438"/>
      <c r="O66" s="438"/>
      <c r="P66" s="544"/>
    </row>
    <row r="67" spans="1:16" s="433" customFormat="1">
      <c r="A67" s="504">
        <v>45882</v>
      </c>
      <c r="B67" s="182" t="s">
        <v>2508</v>
      </c>
      <c r="C67" s="182" t="s">
        <v>174</v>
      </c>
      <c r="D67" s="182" t="s">
        <v>118</v>
      </c>
      <c r="E67" s="435">
        <v>1500</v>
      </c>
      <c r="F67" s="325"/>
      <c r="G67" s="326">
        <v>560.94200000000001</v>
      </c>
      <c r="H67" s="182" t="s">
        <v>583</v>
      </c>
      <c r="I67" s="182" t="s">
        <v>2536</v>
      </c>
      <c r="J67" s="182" t="s">
        <v>98</v>
      </c>
      <c r="K67" s="438" t="s">
        <v>1902</v>
      </c>
      <c r="L67" s="182" t="s">
        <v>155</v>
      </c>
      <c r="M67" s="496"/>
      <c r="N67" s="438"/>
      <c r="O67" s="438"/>
      <c r="P67" s="544"/>
    </row>
    <row r="68" spans="1:16" s="433" customFormat="1">
      <c r="A68" s="504">
        <v>45882</v>
      </c>
      <c r="B68" s="182" t="s">
        <v>2509</v>
      </c>
      <c r="C68" s="182" t="s">
        <v>174</v>
      </c>
      <c r="D68" s="182" t="s">
        <v>118</v>
      </c>
      <c r="E68" s="435">
        <v>1500</v>
      </c>
      <c r="F68" s="325">
        <f t="shared" ref="F68:F131" si="3">E68/G68</f>
        <v>2.6740732553454722</v>
      </c>
      <c r="G68" s="326">
        <v>560.94200000000001</v>
      </c>
      <c r="H68" s="182" t="s">
        <v>583</v>
      </c>
      <c r="I68" s="182" t="s">
        <v>2536</v>
      </c>
      <c r="J68" s="182" t="s">
        <v>98</v>
      </c>
      <c r="K68" s="438" t="s">
        <v>1902</v>
      </c>
      <c r="L68" s="182" t="s">
        <v>155</v>
      </c>
      <c r="M68" s="438"/>
      <c r="N68" s="438"/>
      <c r="O68" s="438"/>
      <c r="P68" s="544"/>
    </row>
    <row r="69" spans="1:16" s="433" customFormat="1">
      <c r="A69" s="467">
        <v>45882</v>
      </c>
      <c r="B69" s="177" t="s">
        <v>2545</v>
      </c>
      <c r="C69" s="177" t="s">
        <v>174</v>
      </c>
      <c r="D69" s="177" t="s">
        <v>121</v>
      </c>
      <c r="E69" s="177">
        <v>1000</v>
      </c>
      <c r="F69" s="325">
        <f t="shared" si="3"/>
        <v>1.7827155035636482</v>
      </c>
      <c r="G69" s="326">
        <v>560.94200000000001</v>
      </c>
      <c r="H69" s="177" t="s">
        <v>184</v>
      </c>
      <c r="I69" s="177" t="s">
        <v>2558</v>
      </c>
      <c r="J69" s="182" t="s">
        <v>98</v>
      </c>
      <c r="K69" s="438" t="s">
        <v>1902</v>
      </c>
      <c r="L69" s="182" t="s">
        <v>155</v>
      </c>
      <c r="M69" s="438"/>
      <c r="N69" s="438"/>
      <c r="O69" s="438"/>
      <c r="P69" s="544"/>
    </row>
    <row r="70" spans="1:16" s="433" customFormat="1">
      <c r="A70" s="467">
        <v>45882</v>
      </c>
      <c r="B70" s="177" t="s">
        <v>2546</v>
      </c>
      <c r="C70" s="177" t="s">
        <v>174</v>
      </c>
      <c r="D70" s="177" t="s">
        <v>121</v>
      </c>
      <c r="E70" s="177">
        <v>1000</v>
      </c>
      <c r="F70" s="325">
        <f t="shared" si="3"/>
        <v>1.7827155035636482</v>
      </c>
      <c r="G70" s="326">
        <v>560.94200000000001</v>
      </c>
      <c r="H70" s="177" t="s">
        <v>184</v>
      </c>
      <c r="I70" s="177" t="s">
        <v>2558</v>
      </c>
      <c r="J70" s="182" t="s">
        <v>98</v>
      </c>
      <c r="K70" s="438" t="s">
        <v>1902</v>
      </c>
      <c r="L70" s="182" t="s">
        <v>155</v>
      </c>
      <c r="M70" s="438"/>
      <c r="N70" s="438"/>
      <c r="O70" s="438"/>
      <c r="P70" s="544"/>
    </row>
    <row r="71" spans="1:16" s="548" customFormat="1">
      <c r="A71" s="467">
        <v>45882</v>
      </c>
      <c r="B71" s="177" t="s">
        <v>2547</v>
      </c>
      <c r="C71" s="177" t="s">
        <v>174</v>
      </c>
      <c r="D71" s="177" t="s">
        <v>121</v>
      </c>
      <c r="E71" s="177">
        <v>1500</v>
      </c>
      <c r="F71" s="325">
        <f t="shared" si="3"/>
        <v>2.6740732553454722</v>
      </c>
      <c r="G71" s="326">
        <v>560.94200000000001</v>
      </c>
      <c r="H71" s="177" t="s">
        <v>184</v>
      </c>
      <c r="I71" s="177" t="s">
        <v>2558</v>
      </c>
      <c r="J71" s="182" t="s">
        <v>98</v>
      </c>
      <c r="K71" s="438" t="s">
        <v>1902</v>
      </c>
      <c r="L71" s="182" t="s">
        <v>155</v>
      </c>
      <c r="M71" s="438"/>
      <c r="N71" s="438"/>
      <c r="O71" s="438"/>
      <c r="P71" s="547"/>
    </row>
    <row r="72" spans="1:16" s="548" customFormat="1">
      <c r="A72" s="467">
        <v>45882</v>
      </c>
      <c r="B72" s="177" t="s">
        <v>2552</v>
      </c>
      <c r="C72" s="177" t="s">
        <v>368</v>
      </c>
      <c r="D72" s="177" t="s">
        <v>121</v>
      </c>
      <c r="E72" s="177">
        <v>1000</v>
      </c>
      <c r="F72" s="325">
        <f t="shared" si="3"/>
        <v>1.7827155035636482</v>
      </c>
      <c r="G72" s="326">
        <v>560.94200000000001</v>
      </c>
      <c r="H72" s="177" t="s">
        <v>184</v>
      </c>
      <c r="I72" s="177" t="s">
        <v>2559</v>
      </c>
      <c r="J72" s="182" t="s">
        <v>98</v>
      </c>
      <c r="K72" s="438" t="s">
        <v>1902</v>
      </c>
      <c r="L72" s="182" t="s">
        <v>155</v>
      </c>
      <c r="M72" s="438"/>
      <c r="N72" s="438"/>
      <c r="O72" s="438"/>
      <c r="P72" s="547"/>
    </row>
    <row r="73" spans="1:16" s="433" customFormat="1">
      <c r="A73" s="505">
        <v>45882</v>
      </c>
      <c r="B73" s="182" t="s">
        <v>2611</v>
      </c>
      <c r="C73" s="182" t="s">
        <v>174</v>
      </c>
      <c r="D73" s="177" t="s">
        <v>121</v>
      </c>
      <c r="E73" s="182">
        <v>1500</v>
      </c>
      <c r="F73" s="325">
        <f t="shared" si="3"/>
        <v>2.6740732553454722</v>
      </c>
      <c r="G73" s="326">
        <v>560.94200000000001</v>
      </c>
      <c r="H73" s="182" t="s">
        <v>175</v>
      </c>
      <c r="I73" s="182" t="s">
        <v>2588</v>
      </c>
      <c r="J73" s="182" t="s">
        <v>98</v>
      </c>
      <c r="K73" s="438" t="s">
        <v>1902</v>
      </c>
      <c r="L73" s="182" t="s">
        <v>155</v>
      </c>
      <c r="M73" s="538"/>
      <c r="N73" s="538"/>
      <c r="O73" s="538"/>
      <c r="P73" s="544"/>
    </row>
    <row r="74" spans="1:16" s="433" customFormat="1">
      <c r="A74" s="505">
        <v>45882</v>
      </c>
      <c r="B74" s="182" t="s">
        <v>2612</v>
      </c>
      <c r="C74" s="182" t="s">
        <v>174</v>
      </c>
      <c r="D74" s="177" t="s">
        <v>121</v>
      </c>
      <c r="E74" s="182">
        <v>1000</v>
      </c>
      <c r="F74" s="325">
        <f t="shared" si="3"/>
        <v>1.7827155035636482</v>
      </c>
      <c r="G74" s="326">
        <v>560.94200000000001</v>
      </c>
      <c r="H74" s="182" t="s">
        <v>175</v>
      </c>
      <c r="I74" s="182" t="s">
        <v>2588</v>
      </c>
      <c r="J74" s="182" t="s">
        <v>98</v>
      </c>
      <c r="K74" s="438" t="s">
        <v>1902</v>
      </c>
      <c r="L74" s="182" t="s">
        <v>155</v>
      </c>
      <c r="M74" s="538"/>
      <c r="N74" s="538"/>
      <c r="O74" s="538"/>
      <c r="P74" s="544"/>
    </row>
    <row r="75" spans="1:16" s="433" customFormat="1">
      <c r="A75" s="505">
        <v>45882</v>
      </c>
      <c r="B75" s="182" t="s">
        <v>2994</v>
      </c>
      <c r="C75" s="182" t="s">
        <v>174</v>
      </c>
      <c r="D75" s="177" t="s">
        <v>121</v>
      </c>
      <c r="E75" s="182">
        <v>1000</v>
      </c>
      <c r="F75" s="325">
        <f t="shared" si="3"/>
        <v>1.7827155035636482</v>
      </c>
      <c r="G75" s="326">
        <v>560.94200000000001</v>
      </c>
      <c r="H75" s="182" t="s">
        <v>175</v>
      </c>
      <c r="I75" s="182" t="s">
        <v>2588</v>
      </c>
      <c r="J75" s="182" t="s">
        <v>98</v>
      </c>
      <c r="K75" s="438" t="s">
        <v>1902</v>
      </c>
      <c r="L75" s="182" t="s">
        <v>155</v>
      </c>
      <c r="M75" s="538"/>
      <c r="N75" s="538"/>
      <c r="O75" s="538"/>
      <c r="P75" s="544"/>
    </row>
    <row r="76" spans="1:16" s="433" customFormat="1">
      <c r="A76" s="505">
        <v>45882</v>
      </c>
      <c r="B76" s="182" t="s">
        <v>2995</v>
      </c>
      <c r="C76" s="182" t="s">
        <v>174</v>
      </c>
      <c r="D76" s="177" t="s">
        <v>121</v>
      </c>
      <c r="E76" s="182">
        <v>2000</v>
      </c>
      <c r="F76" s="325">
        <f t="shared" si="3"/>
        <v>3.5654310071272963</v>
      </c>
      <c r="G76" s="326">
        <v>560.94200000000001</v>
      </c>
      <c r="H76" s="182" t="s">
        <v>175</v>
      </c>
      <c r="I76" s="182" t="s">
        <v>2588</v>
      </c>
      <c r="J76" s="182" t="s">
        <v>98</v>
      </c>
      <c r="K76" s="438" t="s">
        <v>1902</v>
      </c>
      <c r="L76" s="182" t="s">
        <v>155</v>
      </c>
      <c r="M76" s="538"/>
      <c r="N76" s="538"/>
      <c r="O76" s="538"/>
      <c r="P76" s="544"/>
    </row>
    <row r="77" spans="1:16" s="433" customFormat="1">
      <c r="A77" s="505">
        <v>45882</v>
      </c>
      <c r="B77" s="182" t="s">
        <v>2996</v>
      </c>
      <c r="C77" s="182" t="s">
        <v>174</v>
      </c>
      <c r="D77" s="177" t="s">
        <v>121</v>
      </c>
      <c r="E77" s="182">
        <v>2000</v>
      </c>
      <c r="F77" s="325">
        <f t="shared" si="3"/>
        <v>3.5654310071272963</v>
      </c>
      <c r="G77" s="326">
        <v>560.94200000000001</v>
      </c>
      <c r="H77" s="182" t="s">
        <v>175</v>
      </c>
      <c r="I77" s="182" t="s">
        <v>2588</v>
      </c>
      <c r="J77" s="182" t="s">
        <v>98</v>
      </c>
      <c r="K77" s="438" t="s">
        <v>1902</v>
      </c>
      <c r="L77" s="182" t="s">
        <v>155</v>
      </c>
      <c r="M77" s="538"/>
      <c r="N77" s="538"/>
      <c r="O77" s="538"/>
      <c r="P77" s="544"/>
    </row>
    <row r="78" spans="1:16" s="433" customFormat="1">
      <c r="A78" s="505">
        <v>45882</v>
      </c>
      <c r="B78" s="182" t="s">
        <v>2621</v>
      </c>
      <c r="C78" s="182" t="s">
        <v>174</v>
      </c>
      <c r="D78" s="182" t="s">
        <v>121</v>
      </c>
      <c r="E78" s="182">
        <v>2000</v>
      </c>
      <c r="F78" s="325">
        <f t="shared" si="3"/>
        <v>3.5654310071272963</v>
      </c>
      <c r="G78" s="326">
        <v>560.94200000000001</v>
      </c>
      <c r="H78" s="182" t="s">
        <v>317</v>
      </c>
      <c r="I78" s="182" t="s">
        <v>2632</v>
      </c>
      <c r="J78" s="182" t="s">
        <v>98</v>
      </c>
      <c r="K78" s="438" t="s">
        <v>1902</v>
      </c>
      <c r="L78" s="182" t="s">
        <v>155</v>
      </c>
      <c r="M78" s="538"/>
      <c r="N78" s="538"/>
      <c r="O78" s="538"/>
      <c r="P78" s="544"/>
    </row>
    <row r="79" spans="1:16" s="433" customFormat="1">
      <c r="A79" s="505">
        <v>45882</v>
      </c>
      <c r="B79" s="182" t="s">
        <v>2622</v>
      </c>
      <c r="C79" s="182" t="s">
        <v>174</v>
      </c>
      <c r="D79" s="182" t="s">
        <v>121</v>
      </c>
      <c r="E79" s="182">
        <v>1000</v>
      </c>
      <c r="F79" s="325">
        <f t="shared" si="3"/>
        <v>1.7827155035636482</v>
      </c>
      <c r="G79" s="326">
        <v>560.94200000000001</v>
      </c>
      <c r="H79" s="182" t="s">
        <v>317</v>
      </c>
      <c r="I79" s="182" t="s">
        <v>2632</v>
      </c>
      <c r="J79" s="182" t="s">
        <v>98</v>
      </c>
      <c r="K79" s="438" t="s">
        <v>1902</v>
      </c>
      <c r="L79" s="182" t="s">
        <v>155</v>
      </c>
      <c r="M79" s="538"/>
      <c r="N79" s="538"/>
      <c r="O79" s="538"/>
      <c r="P79" s="544"/>
    </row>
    <row r="80" spans="1:16" s="433" customFormat="1">
      <c r="A80" s="505">
        <v>45882</v>
      </c>
      <c r="B80" s="182" t="s">
        <v>2623</v>
      </c>
      <c r="C80" s="182" t="s">
        <v>174</v>
      </c>
      <c r="D80" s="182" t="s">
        <v>121</v>
      </c>
      <c r="E80" s="182">
        <v>1000</v>
      </c>
      <c r="F80" s="325">
        <f t="shared" si="3"/>
        <v>1.7827155035636482</v>
      </c>
      <c r="G80" s="326">
        <v>560.94200000000001</v>
      </c>
      <c r="H80" s="182" t="s">
        <v>317</v>
      </c>
      <c r="I80" s="182" t="s">
        <v>2632</v>
      </c>
      <c r="J80" s="182" t="s">
        <v>98</v>
      </c>
      <c r="K80" s="438" t="s">
        <v>1902</v>
      </c>
      <c r="L80" s="182" t="s">
        <v>155</v>
      </c>
      <c r="M80" s="538"/>
      <c r="N80" s="538"/>
      <c r="O80" s="538"/>
      <c r="P80" s="544"/>
    </row>
    <row r="81" spans="1:16" s="433" customFormat="1">
      <c r="A81" s="505">
        <v>45882</v>
      </c>
      <c r="B81" s="182" t="s">
        <v>2624</v>
      </c>
      <c r="C81" s="182" t="s">
        <v>174</v>
      </c>
      <c r="D81" s="182" t="s">
        <v>121</v>
      </c>
      <c r="E81" s="182">
        <v>2000</v>
      </c>
      <c r="F81" s="325">
        <f t="shared" si="3"/>
        <v>3.5654310071272963</v>
      </c>
      <c r="G81" s="326">
        <v>560.94200000000001</v>
      </c>
      <c r="H81" s="182" t="s">
        <v>317</v>
      </c>
      <c r="I81" s="182" t="s">
        <v>2632</v>
      </c>
      <c r="J81" s="182" t="s">
        <v>98</v>
      </c>
      <c r="K81" s="438" t="s">
        <v>1902</v>
      </c>
      <c r="L81" s="182" t="s">
        <v>155</v>
      </c>
      <c r="M81" s="538"/>
      <c r="N81" s="538"/>
      <c r="O81" s="538"/>
      <c r="P81" s="544"/>
    </row>
    <row r="82" spans="1:16" s="433" customFormat="1">
      <c r="A82" s="505">
        <v>45882</v>
      </c>
      <c r="B82" s="182" t="s">
        <v>3050</v>
      </c>
      <c r="C82" s="182" t="s">
        <v>174</v>
      </c>
      <c r="D82" s="182" t="s">
        <v>121</v>
      </c>
      <c r="E82" s="496">
        <v>1500</v>
      </c>
      <c r="F82" s="325">
        <f t="shared" si="3"/>
        <v>2.6740732553454722</v>
      </c>
      <c r="G82" s="326">
        <v>560.94200000000001</v>
      </c>
      <c r="H82" s="182" t="s">
        <v>323</v>
      </c>
      <c r="I82" s="182" t="s">
        <v>2671</v>
      </c>
      <c r="J82" s="182" t="s">
        <v>98</v>
      </c>
      <c r="K82" s="438" t="s">
        <v>1902</v>
      </c>
      <c r="L82" s="182" t="s">
        <v>155</v>
      </c>
      <c r="M82" s="538"/>
      <c r="N82" s="538"/>
      <c r="O82" s="538"/>
      <c r="P82" s="544"/>
    </row>
    <row r="83" spans="1:16" s="433" customFormat="1">
      <c r="A83" s="505">
        <v>45882</v>
      </c>
      <c r="B83" s="182" t="s">
        <v>3051</v>
      </c>
      <c r="C83" s="182" t="s">
        <v>174</v>
      </c>
      <c r="D83" s="182" t="s">
        <v>121</v>
      </c>
      <c r="E83" s="496">
        <v>1500</v>
      </c>
      <c r="F83" s="325">
        <f t="shared" si="3"/>
        <v>2.6740732553454722</v>
      </c>
      <c r="G83" s="326">
        <v>560.94200000000001</v>
      </c>
      <c r="H83" s="182" t="s">
        <v>323</v>
      </c>
      <c r="I83" s="182" t="s">
        <v>2671</v>
      </c>
      <c r="J83" s="182" t="s">
        <v>98</v>
      </c>
      <c r="K83" s="438" t="s">
        <v>1902</v>
      </c>
      <c r="L83" s="182" t="s">
        <v>155</v>
      </c>
      <c r="M83" s="538"/>
      <c r="N83" s="538"/>
      <c r="O83" s="538"/>
    </row>
    <row r="84" spans="1:16" s="433" customFormat="1">
      <c r="A84" s="505">
        <v>45882</v>
      </c>
      <c r="B84" s="182" t="s">
        <v>3052</v>
      </c>
      <c r="C84" s="182" t="s">
        <v>174</v>
      </c>
      <c r="D84" s="182" t="s">
        <v>121</v>
      </c>
      <c r="E84" s="496">
        <v>1000</v>
      </c>
      <c r="F84" s="325">
        <f t="shared" si="3"/>
        <v>1.7827155035636482</v>
      </c>
      <c r="G84" s="326">
        <v>560.94200000000001</v>
      </c>
      <c r="H84" s="182" t="s">
        <v>323</v>
      </c>
      <c r="I84" s="182" t="s">
        <v>2671</v>
      </c>
      <c r="J84" s="182" t="s">
        <v>98</v>
      </c>
      <c r="K84" s="438" t="s">
        <v>1902</v>
      </c>
      <c r="L84" s="182" t="s">
        <v>155</v>
      </c>
      <c r="M84" s="538"/>
      <c r="N84" s="538"/>
      <c r="O84" s="538"/>
    </row>
    <row r="85" spans="1:16" s="433" customFormat="1">
      <c r="A85" s="505">
        <v>45882</v>
      </c>
      <c r="B85" s="182" t="s">
        <v>2831</v>
      </c>
      <c r="C85" s="182" t="s">
        <v>174</v>
      </c>
      <c r="D85" s="182" t="s">
        <v>120</v>
      </c>
      <c r="E85" s="496">
        <v>1000</v>
      </c>
      <c r="F85" s="325">
        <f t="shared" si="3"/>
        <v>1.7827155035636482</v>
      </c>
      <c r="G85" s="326">
        <v>560.94200000000001</v>
      </c>
      <c r="H85" s="182" t="s">
        <v>213</v>
      </c>
      <c r="I85" s="182" t="s">
        <v>2853</v>
      </c>
      <c r="J85" s="182" t="s">
        <v>98</v>
      </c>
      <c r="K85" s="438" t="s">
        <v>1902</v>
      </c>
      <c r="L85" s="182" t="s">
        <v>155</v>
      </c>
      <c r="M85" s="538"/>
      <c r="N85" s="538"/>
      <c r="O85" s="538"/>
    </row>
    <row r="86" spans="1:16" s="433" customFormat="1">
      <c r="A86" s="505">
        <v>45882</v>
      </c>
      <c r="B86" s="182" t="s">
        <v>2834</v>
      </c>
      <c r="C86" s="182" t="s">
        <v>174</v>
      </c>
      <c r="D86" s="182" t="s">
        <v>120</v>
      </c>
      <c r="E86" s="496">
        <v>1000</v>
      </c>
      <c r="F86" s="325">
        <f t="shared" si="3"/>
        <v>1.7827155035636482</v>
      </c>
      <c r="G86" s="326">
        <v>560.94200000000001</v>
      </c>
      <c r="H86" s="182" t="s">
        <v>213</v>
      </c>
      <c r="I86" s="182" t="s">
        <v>2853</v>
      </c>
      <c r="J86" s="182" t="s">
        <v>98</v>
      </c>
      <c r="K86" s="438" t="s">
        <v>1902</v>
      </c>
      <c r="L86" s="182" t="s">
        <v>155</v>
      </c>
      <c r="M86" s="538"/>
      <c r="N86" s="538"/>
      <c r="O86" s="538"/>
    </row>
    <row r="87" spans="1:16" s="433" customFormat="1">
      <c r="A87" s="508">
        <v>45882</v>
      </c>
      <c r="B87" s="367" t="s">
        <v>2889</v>
      </c>
      <c r="C87" s="182" t="s">
        <v>125</v>
      </c>
      <c r="D87" s="439"/>
      <c r="E87" s="435"/>
      <c r="F87" s="325">
        <f t="shared" si="3"/>
        <v>0</v>
      </c>
      <c r="G87" s="515">
        <f>+M87/5000</f>
        <v>532.90200000000004</v>
      </c>
      <c r="H87" s="182" t="s">
        <v>148</v>
      </c>
      <c r="I87" s="182" t="s">
        <v>2936</v>
      </c>
      <c r="J87" s="182" t="s">
        <v>98</v>
      </c>
      <c r="K87" s="438" t="s">
        <v>2098</v>
      </c>
      <c r="L87" s="182" t="s">
        <v>155</v>
      </c>
      <c r="M87" s="549">
        <v>2664510</v>
      </c>
      <c r="N87" s="538">
        <v>5000</v>
      </c>
      <c r="O87" s="538"/>
    </row>
    <row r="88" spans="1:16" s="433" customFormat="1">
      <c r="A88" s="508">
        <v>45882</v>
      </c>
      <c r="B88" s="367" t="s">
        <v>2890</v>
      </c>
      <c r="C88" s="182" t="s">
        <v>125</v>
      </c>
      <c r="D88" s="444"/>
      <c r="E88" s="435"/>
      <c r="F88" s="325">
        <f t="shared" si="3"/>
        <v>0</v>
      </c>
      <c r="G88" s="515">
        <f>+M88/27000</f>
        <v>532.90192592592598</v>
      </c>
      <c r="H88" s="182" t="s">
        <v>148</v>
      </c>
      <c r="I88" s="182" t="s">
        <v>2937</v>
      </c>
      <c r="J88" s="182" t="s">
        <v>98</v>
      </c>
      <c r="K88" s="438" t="s">
        <v>1902</v>
      </c>
      <c r="L88" s="182" t="s">
        <v>155</v>
      </c>
      <c r="M88" s="549">
        <v>14388352</v>
      </c>
      <c r="N88" s="538">
        <v>27000</v>
      </c>
      <c r="O88" s="538"/>
    </row>
    <row r="89" spans="1:16" s="433" customFormat="1">
      <c r="A89" s="535">
        <v>45883</v>
      </c>
      <c r="B89" s="517" t="s">
        <v>2100</v>
      </c>
      <c r="C89" s="308" t="s">
        <v>174</v>
      </c>
      <c r="D89" s="308" t="s">
        <v>119</v>
      </c>
      <c r="E89" s="517">
        <v>1000</v>
      </c>
      <c r="F89" s="325">
        <f t="shared" si="3"/>
        <v>1.7827155035636482</v>
      </c>
      <c r="G89" s="326">
        <v>560.94200000000001</v>
      </c>
      <c r="H89" s="524" t="s">
        <v>153</v>
      </c>
      <c r="I89" s="525" t="s">
        <v>2494</v>
      </c>
      <c r="J89" s="182" t="s">
        <v>98</v>
      </c>
      <c r="K89" s="438" t="s">
        <v>1902</v>
      </c>
      <c r="L89" s="182" t="s">
        <v>155</v>
      </c>
      <c r="M89" s="438"/>
      <c r="N89" s="438"/>
      <c r="O89" s="438"/>
    </row>
    <row r="90" spans="1:16" s="433" customFormat="1">
      <c r="A90" s="536">
        <v>45883</v>
      </c>
      <c r="B90" s="516" t="s">
        <v>2452</v>
      </c>
      <c r="C90" s="516" t="s">
        <v>174</v>
      </c>
      <c r="D90" s="516" t="s">
        <v>117</v>
      </c>
      <c r="E90" s="526">
        <v>37000</v>
      </c>
      <c r="F90" s="325">
        <f t="shared" si="3"/>
        <v>65.960473631854981</v>
      </c>
      <c r="G90" s="326">
        <v>560.94200000000001</v>
      </c>
      <c r="H90" s="177" t="s">
        <v>200</v>
      </c>
      <c r="I90" s="516" t="s">
        <v>2488</v>
      </c>
      <c r="J90" s="182" t="s">
        <v>98</v>
      </c>
      <c r="K90" s="438" t="s">
        <v>1902</v>
      </c>
      <c r="L90" s="182" t="s">
        <v>155</v>
      </c>
      <c r="M90" s="438"/>
      <c r="N90" s="438"/>
      <c r="O90" s="438"/>
    </row>
    <row r="91" spans="1:16" s="433" customFormat="1">
      <c r="A91" s="536">
        <v>45883</v>
      </c>
      <c r="B91" s="516" t="s">
        <v>2453</v>
      </c>
      <c r="C91" s="516" t="s">
        <v>174</v>
      </c>
      <c r="D91" s="516" t="s">
        <v>117</v>
      </c>
      <c r="E91" s="526">
        <v>2000</v>
      </c>
      <c r="F91" s="325">
        <f t="shared" si="3"/>
        <v>3.5654310071272963</v>
      </c>
      <c r="G91" s="326">
        <v>560.94200000000001</v>
      </c>
      <c r="H91" s="177" t="s">
        <v>200</v>
      </c>
      <c r="I91" s="516" t="s">
        <v>2489</v>
      </c>
      <c r="J91" s="182" t="s">
        <v>98</v>
      </c>
      <c r="K91" s="438" t="s">
        <v>1902</v>
      </c>
      <c r="L91" s="182" t="s">
        <v>155</v>
      </c>
      <c r="M91" s="438"/>
      <c r="N91" s="438"/>
      <c r="O91" s="438"/>
    </row>
    <row r="92" spans="1:16" s="546" customFormat="1">
      <c r="A92" s="536">
        <v>45883</v>
      </c>
      <c r="B92" s="516" t="s">
        <v>2454</v>
      </c>
      <c r="C92" s="516" t="s">
        <v>174</v>
      </c>
      <c r="D92" s="516" t="s">
        <v>117</v>
      </c>
      <c r="E92" s="526">
        <v>500</v>
      </c>
      <c r="F92" s="325">
        <f t="shared" si="3"/>
        <v>0.89135775178182408</v>
      </c>
      <c r="G92" s="326">
        <v>560.94200000000001</v>
      </c>
      <c r="H92" s="177" t="s">
        <v>200</v>
      </c>
      <c r="I92" s="516" t="s">
        <v>2489</v>
      </c>
      <c r="J92" s="182" t="s">
        <v>98</v>
      </c>
      <c r="K92" s="438" t="s">
        <v>1902</v>
      </c>
      <c r="L92" s="182" t="s">
        <v>155</v>
      </c>
      <c r="M92" s="438"/>
      <c r="N92" s="438"/>
      <c r="O92" s="438"/>
    </row>
    <row r="93" spans="1:16" s="433" customFormat="1">
      <c r="A93" s="467">
        <v>45883</v>
      </c>
      <c r="B93" s="177" t="s">
        <v>2455</v>
      </c>
      <c r="C93" s="177" t="s">
        <v>2456</v>
      </c>
      <c r="D93" s="177" t="s">
        <v>117</v>
      </c>
      <c r="E93" s="527">
        <v>190000</v>
      </c>
      <c r="F93" s="325">
        <f t="shared" si="3"/>
        <v>338.71594567709315</v>
      </c>
      <c r="G93" s="326">
        <v>560.94200000000001</v>
      </c>
      <c r="H93" s="177" t="s">
        <v>200</v>
      </c>
      <c r="I93" s="177" t="s">
        <v>2490</v>
      </c>
      <c r="J93" s="182" t="s">
        <v>98</v>
      </c>
      <c r="K93" s="438" t="s">
        <v>1902</v>
      </c>
      <c r="L93" s="182" t="s">
        <v>155</v>
      </c>
      <c r="M93" s="438"/>
      <c r="N93" s="438"/>
      <c r="O93" s="438"/>
    </row>
    <row r="94" spans="1:16" s="433" customFormat="1">
      <c r="A94" s="504">
        <v>45883</v>
      </c>
      <c r="B94" s="182" t="s">
        <v>2508</v>
      </c>
      <c r="C94" s="182" t="s">
        <v>174</v>
      </c>
      <c r="D94" s="182" t="s">
        <v>118</v>
      </c>
      <c r="E94" s="435">
        <v>1000</v>
      </c>
      <c r="F94" s="325">
        <f t="shared" si="3"/>
        <v>1.7827155035636482</v>
      </c>
      <c r="G94" s="326">
        <v>560.94200000000001</v>
      </c>
      <c r="H94" s="182" t="s">
        <v>583</v>
      </c>
      <c r="I94" s="182" t="s">
        <v>2536</v>
      </c>
      <c r="J94" s="182" t="s">
        <v>98</v>
      </c>
      <c r="K94" s="438" t="s">
        <v>1902</v>
      </c>
      <c r="L94" s="182" t="s">
        <v>155</v>
      </c>
      <c r="M94" s="438"/>
      <c r="N94" s="438"/>
      <c r="O94" s="438"/>
    </row>
    <row r="95" spans="1:16" s="433" customFormat="1">
      <c r="A95" s="504">
        <v>45883</v>
      </c>
      <c r="B95" s="182" t="s">
        <v>2509</v>
      </c>
      <c r="C95" s="182" t="s">
        <v>174</v>
      </c>
      <c r="D95" s="182" t="s">
        <v>118</v>
      </c>
      <c r="E95" s="435">
        <v>1000</v>
      </c>
      <c r="F95" s="325">
        <f t="shared" si="3"/>
        <v>1.7827155035636482</v>
      </c>
      <c r="G95" s="326">
        <v>560.94200000000001</v>
      </c>
      <c r="H95" s="182" t="s">
        <v>583</v>
      </c>
      <c r="I95" s="182" t="s">
        <v>2536</v>
      </c>
      <c r="J95" s="182" t="s">
        <v>98</v>
      </c>
      <c r="K95" s="438" t="s">
        <v>1902</v>
      </c>
      <c r="L95" s="182" t="s">
        <v>155</v>
      </c>
      <c r="M95" s="438"/>
      <c r="N95" s="438"/>
      <c r="O95" s="438"/>
    </row>
    <row r="96" spans="1:16" s="433" customFormat="1">
      <c r="A96" s="504">
        <v>45883</v>
      </c>
      <c r="B96" s="182" t="s">
        <v>2510</v>
      </c>
      <c r="C96" s="182" t="s">
        <v>174</v>
      </c>
      <c r="D96" s="182" t="s">
        <v>118</v>
      </c>
      <c r="E96" s="435">
        <v>1000</v>
      </c>
      <c r="F96" s="325">
        <f t="shared" si="3"/>
        <v>1.7827155035636482</v>
      </c>
      <c r="G96" s="326">
        <v>560.94200000000001</v>
      </c>
      <c r="H96" s="182" t="s">
        <v>583</v>
      </c>
      <c r="I96" s="182" t="s">
        <v>2536</v>
      </c>
      <c r="J96" s="182" t="s">
        <v>98</v>
      </c>
      <c r="K96" s="438" t="s">
        <v>1902</v>
      </c>
      <c r="L96" s="182" t="s">
        <v>155</v>
      </c>
      <c r="M96" s="438"/>
      <c r="N96" s="438"/>
      <c r="O96" s="438"/>
    </row>
    <row r="97" spans="1:15" s="546" customFormat="1">
      <c r="A97" s="504">
        <v>45883</v>
      </c>
      <c r="B97" s="182" t="s">
        <v>2511</v>
      </c>
      <c r="C97" s="182" t="s">
        <v>174</v>
      </c>
      <c r="D97" s="182" t="s">
        <v>118</v>
      </c>
      <c r="E97" s="435">
        <v>1000</v>
      </c>
      <c r="F97" s="325">
        <f t="shared" si="3"/>
        <v>1.7827155035636482</v>
      </c>
      <c r="G97" s="326">
        <v>560.94200000000001</v>
      </c>
      <c r="H97" s="182" t="s">
        <v>583</v>
      </c>
      <c r="I97" s="182" t="s">
        <v>2536</v>
      </c>
      <c r="J97" s="182" t="s">
        <v>98</v>
      </c>
      <c r="K97" s="438" t="s">
        <v>1902</v>
      </c>
      <c r="L97" s="182" t="s">
        <v>155</v>
      </c>
      <c r="M97" s="438"/>
      <c r="N97" s="438"/>
      <c r="O97" s="438"/>
    </row>
    <row r="98" spans="1:15" s="433" customFormat="1">
      <c r="A98" s="506">
        <v>45883</v>
      </c>
      <c r="B98" s="182" t="s">
        <v>2361</v>
      </c>
      <c r="C98" s="182" t="s">
        <v>172</v>
      </c>
      <c r="D98" s="182" t="s">
        <v>118</v>
      </c>
      <c r="E98" s="435">
        <v>25000</v>
      </c>
      <c r="F98" s="325">
        <f t="shared" si="3"/>
        <v>44.567887589091207</v>
      </c>
      <c r="G98" s="326">
        <v>560.94200000000001</v>
      </c>
      <c r="H98" s="520" t="s">
        <v>583</v>
      </c>
      <c r="I98" s="520" t="s">
        <v>2362</v>
      </c>
      <c r="J98" s="182" t="s">
        <v>98</v>
      </c>
      <c r="K98" s="438" t="s">
        <v>1902</v>
      </c>
      <c r="L98" s="182" t="s">
        <v>155</v>
      </c>
      <c r="M98" s="438"/>
      <c r="N98" s="438"/>
      <c r="O98" s="438"/>
    </row>
    <row r="99" spans="1:15" s="433" customFormat="1">
      <c r="A99" s="467">
        <v>45883</v>
      </c>
      <c r="B99" s="177" t="s">
        <v>3024</v>
      </c>
      <c r="C99" s="177" t="s">
        <v>174</v>
      </c>
      <c r="D99" s="177" t="s">
        <v>121</v>
      </c>
      <c r="E99" s="177">
        <v>37000</v>
      </c>
      <c r="F99" s="325">
        <f t="shared" si="3"/>
        <v>65.960473631854981</v>
      </c>
      <c r="G99" s="326">
        <v>560.94200000000001</v>
      </c>
      <c r="H99" s="177" t="s">
        <v>184</v>
      </c>
      <c r="I99" s="177" t="s">
        <v>2562</v>
      </c>
      <c r="J99" s="182" t="s">
        <v>98</v>
      </c>
      <c r="K99" s="438" t="s">
        <v>1902</v>
      </c>
      <c r="L99" s="182" t="s">
        <v>155</v>
      </c>
      <c r="M99" s="438"/>
      <c r="N99" s="438"/>
      <c r="O99" s="438"/>
    </row>
    <row r="100" spans="1:15" s="433" customFormat="1">
      <c r="A100" s="467">
        <v>45883</v>
      </c>
      <c r="B100" s="177" t="s">
        <v>3030</v>
      </c>
      <c r="C100" s="177" t="s">
        <v>174</v>
      </c>
      <c r="D100" s="177" t="s">
        <v>121</v>
      </c>
      <c r="E100" s="177">
        <v>2500</v>
      </c>
      <c r="F100" s="325">
        <f t="shared" si="3"/>
        <v>4.4567887589091209</v>
      </c>
      <c r="G100" s="326">
        <v>560.94200000000001</v>
      </c>
      <c r="H100" s="177" t="s">
        <v>184</v>
      </c>
      <c r="I100" s="177" t="s">
        <v>2558</v>
      </c>
      <c r="J100" s="182" t="s">
        <v>98</v>
      </c>
      <c r="K100" s="438" t="s">
        <v>1902</v>
      </c>
      <c r="L100" s="182" t="s">
        <v>155</v>
      </c>
      <c r="M100" s="438"/>
      <c r="N100" s="438"/>
      <c r="O100" s="438"/>
    </row>
    <row r="101" spans="1:15" s="433" customFormat="1">
      <c r="A101" s="467">
        <v>45883</v>
      </c>
      <c r="B101" s="177" t="s">
        <v>3025</v>
      </c>
      <c r="C101" s="177" t="s">
        <v>177</v>
      </c>
      <c r="D101" s="177" t="s">
        <v>121</v>
      </c>
      <c r="E101" s="177">
        <v>180000</v>
      </c>
      <c r="F101" s="325">
        <f t="shared" si="3"/>
        <v>320.88879064145669</v>
      </c>
      <c r="G101" s="326">
        <v>560.94200000000001</v>
      </c>
      <c r="H101" s="177" t="s">
        <v>184</v>
      </c>
      <c r="I101" s="177" t="s">
        <v>2563</v>
      </c>
      <c r="J101" s="182" t="s">
        <v>98</v>
      </c>
      <c r="K101" s="438" t="s">
        <v>1902</v>
      </c>
      <c r="L101" s="182" t="s">
        <v>155</v>
      </c>
      <c r="M101" s="438"/>
      <c r="N101" s="438"/>
      <c r="O101" s="438"/>
    </row>
    <row r="102" spans="1:15" s="433" customFormat="1">
      <c r="A102" s="467">
        <v>45883</v>
      </c>
      <c r="B102" s="177" t="s">
        <v>3031</v>
      </c>
      <c r="C102" s="177" t="s">
        <v>174</v>
      </c>
      <c r="D102" s="177" t="s">
        <v>121</v>
      </c>
      <c r="E102" s="177">
        <v>1000</v>
      </c>
      <c r="F102" s="325">
        <f t="shared" si="3"/>
        <v>1.7827155035636482</v>
      </c>
      <c r="G102" s="326">
        <v>560.94200000000001</v>
      </c>
      <c r="H102" s="177" t="s">
        <v>184</v>
      </c>
      <c r="I102" s="177" t="s">
        <v>2558</v>
      </c>
      <c r="J102" s="182" t="s">
        <v>98</v>
      </c>
      <c r="K102" s="438" t="s">
        <v>1902</v>
      </c>
      <c r="L102" s="182" t="s">
        <v>155</v>
      </c>
      <c r="M102" s="438"/>
      <c r="N102" s="438"/>
      <c r="O102" s="438"/>
    </row>
    <row r="103" spans="1:15" s="433" customFormat="1">
      <c r="A103" s="505">
        <v>45883</v>
      </c>
      <c r="B103" s="182" t="s">
        <v>2990</v>
      </c>
      <c r="C103" s="182" t="s">
        <v>174</v>
      </c>
      <c r="D103" s="177" t="s">
        <v>121</v>
      </c>
      <c r="E103" s="182">
        <v>37000</v>
      </c>
      <c r="F103" s="325">
        <f t="shared" si="3"/>
        <v>65.960473631854981</v>
      </c>
      <c r="G103" s="326">
        <v>560.94200000000001</v>
      </c>
      <c r="H103" s="182" t="s">
        <v>175</v>
      </c>
      <c r="I103" s="182" t="s">
        <v>2592</v>
      </c>
      <c r="J103" s="182" t="s">
        <v>98</v>
      </c>
      <c r="K103" s="438" t="s">
        <v>1902</v>
      </c>
      <c r="L103" s="182" t="s">
        <v>155</v>
      </c>
      <c r="M103" s="538"/>
      <c r="N103" s="538"/>
      <c r="O103" s="538"/>
    </row>
    <row r="104" spans="1:15" s="433" customFormat="1">
      <c r="A104" s="505">
        <v>45883</v>
      </c>
      <c r="B104" s="182" t="s">
        <v>2991</v>
      </c>
      <c r="C104" s="182" t="s">
        <v>2456</v>
      </c>
      <c r="D104" s="177" t="s">
        <v>121</v>
      </c>
      <c r="E104" s="182">
        <v>180000</v>
      </c>
      <c r="F104" s="325">
        <f t="shared" si="3"/>
        <v>320.88879064145669</v>
      </c>
      <c r="G104" s="326">
        <v>560.94200000000001</v>
      </c>
      <c r="H104" s="182" t="s">
        <v>175</v>
      </c>
      <c r="I104" s="182" t="s">
        <v>2593</v>
      </c>
      <c r="J104" s="182" t="s">
        <v>98</v>
      </c>
      <c r="K104" s="438" t="s">
        <v>1902</v>
      </c>
      <c r="L104" s="182" t="s">
        <v>155</v>
      </c>
      <c r="M104" s="538"/>
      <c r="N104" s="538"/>
      <c r="O104" s="538"/>
    </row>
    <row r="105" spans="1:15" s="433" customFormat="1">
      <c r="A105" s="505">
        <v>45883</v>
      </c>
      <c r="B105" s="182" t="s">
        <v>2997</v>
      </c>
      <c r="C105" s="182" t="s">
        <v>1006</v>
      </c>
      <c r="D105" s="177" t="s">
        <v>121</v>
      </c>
      <c r="E105" s="182">
        <v>2000</v>
      </c>
      <c r="F105" s="325">
        <f t="shared" si="3"/>
        <v>3.5654310071272963</v>
      </c>
      <c r="G105" s="326">
        <v>560.94200000000001</v>
      </c>
      <c r="H105" s="182" t="s">
        <v>175</v>
      </c>
      <c r="I105" s="182" t="s">
        <v>2588</v>
      </c>
      <c r="J105" s="182" t="s">
        <v>98</v>
      </c>
      <c r="K105" s="438" t="s">
        <v>1902</v>
      </c>
      <c r="L105" s="182" t="s">
        <v>155</v>
      </c>
      <c r="M105" s="538"/>
      <c r="N105" s="538"/>
      <c r="O105" s="538"/>
    </row>
    <row r="106" spans="1:15" s="433" customFormat="1">
      <c r="A106" s="505">
        <v>45883</v>
      </c>
      <c r="B106" s="182" t="s">
        <v>2582</v>
      </c>
      <c r="C106" s="182" t="s">
        <v>1006</v>
      </c>
      <c r="D106" s="177" t="s">
        <v>121</v>
      </c>
      <c r="E106" s="182">
        <v>500</v>
      </c>
      <c r="F106" s="325">
        <f t="shared" si="3"/>
        <v>0.89135775178182408</v>
      </c>
      <c r="G106" s="326">
        <v>560.94200000000001</v>
      </c>
      <c r="H106" s="182" t="s">
        <v>175</v>
      </c>
      <c r="I106" s="182" t="s">
        <v>2588</v>
      </c>
      <c r="J106" s="182" t="s">
        <v>98</v>
      </c>
      <c r="K106" s="438" t="s">
        <v>1902</v>
      </c>
      <c r="L106" s="182" t="s">
        <v>155</v>
      </c>
      <c r="M106" s="538"/>
      <c r="N106" s="538"/>
      <c r="O106" s="538"/>
    </row>
    <row r="107" spans="1:15" s="433" customFormat="1">
      <c r="A107" s="503">
        <v>45883</v>
      </c>
      <c r="B107" s="182" t="s">
        <v>2769</v>
      </c>
      <c r="C107" s="517" t="s">
        <v>196</v>
      </c>
      <c r="D107" s="517" t="s">
        <v>117</v>
      </c>
      <c r="E107" s="496">
        <v>37000</v>
      </c>
      <c r="F107" s="325">
        <f t="shared" si="3"/>
        <v>65.960473631854981</v>
      </c>
      <c r="G107" s="326">
        <v>560.94200000000001</v>
      </c>
      <c r="H107" s="517" t="s">
        <v>437</v>
      </c>
      <c r="I107" s="182" t="s">
        <v>2816</v>
      </c>
      <c r="J107" s="182" t="s">
        <v>98</v>
      </c>
      <c r="K107" s="438" t="s">
        <v>1902</v>
      </c>
      <c r="L107" s="182" t="s">
        <v>155</v>
      </c>
      <c r="M107" s="538"/>
      <c r="N107" s="538"/>
      <c r="O107" s="538"/>
    </row>
    <row r="108" spans="1:15" s="433" customFormat="1">
      <c r="A108" s="503">
        <v>45883</v>
      </c>
      <c r="B108" s="182" t="s">
        <v>2770</v>
      </c>
      <c r="C108" s="517" t="s">
        <v>196</v>
      </c>
      <c r="D108" s="517" t="s">
        <v>117</v>
      </c>
      <c r="E108" s="496">
        <v>2500</v>
      </c>
      <c r="F108" s="325">
        <f t="shared" si="3"/>
        <v>4.4567887589091209</v>
      </c>
      <c r="G108" s="326">
        <v>560.94200000000001</v>
      </c>
      <c r="H108" s="517" t="s">
        <v>437</v>
      </c>
      <c r="I108" s="182" t="s">
        <v>2817</v>
      </c>
      <c r="J108" s="182" t="s">
        <v>98</v>
      </c>
      <c r="K108" s="438" t="s">
        <v>1902</v>
      </c>
      <c r="L108" s="182" t="s">
        <v>155</v>
      </c>
      <c r="M108" s="538"/>
      <c r="N108" s="538"/>
      <c r="O108" s="538"/>
    </row>
    <row r="109" spans="1:15" s="433" customFormat="1">
      <c r="A109" s="503">
        <v>45883</v>
      </c>
      <c r="B109" s="182" t="s">
        <v>2771</v>
      </c>
      <c r="C109" s="517" t="s">
        <v>196</v>
      </c>
      <c r="D109" s="517" t="s">
        <v>117</v>
      </c>
      <c r="E109" s="496">
        <v>500</v>
      </c>
      <c r="F109" s="325">
        <f t="shared" si="3"/>
        <v>0.89135775178182408</v>
      </c>
      <c r="G109" s="326">
        <v>560.94200000000001</v>
      </c>
      <c r="H109" s="517" t="s">
        <v>437</v>
      </c>
      <c r="I109" s="182" t="s">
        <v>2817</v>
      </c>
      <c r="J109" s="182" t="s">
        <v>98</v>
      </c>
      <c r="K109" s="438" t="s">
        <v>1902</v>
      </c>
      <c r="L109" s="182" t="s">
        <v>155</v>
      </c>
      <c r="M109" s="538"/>
      <c r="N109" s="538"/>
      <c r="O109" s="538"/>
    </row>
    <row r="110" spans="1:15" s="433" customFormat="1">
      <c r="A110" s="503">
        <v>45883</v>
      </c>
      <c r="B110" s="182" t="s">
        <v>2772</v>
      </c>
      <c r="C110" s="182" t="s">
        <v>177</v>
      </c>
      <c r="D110" s="182" t="s">
        <v>117</v>
      </c>
      <c r="E110" s="496">
        <v>190000</v>
      </c>
      <c r="F110" s="325">
        <f t="shared" si="3"/>
        <v>338.71594567709315</v>
      </c>
      <c r="G110" s="326">
        <v>560.94200000000001</v>
      </c>
      <c r="H110" s="517" t="s">
        <v>437</v>
      </c>
      <c r="I110" s="182" t="s">
        <v>2818</v>
      </c>
      <c r="J110" s="182" t="s">
        <v>98</v>
      </c>
      <c r="K110" s="438" t="s">
        <v>1902</v>
      </c>
      <c r="L110" s="182" t="s">
        <v>155</v>
      </c>
      <c r="M110" s="538"/>
      <c r="N110" s="538"/>
      <c r="O110" s="538"/>
    </row>
    <row r="111" spans="1:15" s="433" customFormat="1">
      <c r="A111" s="505">
        <v>45883</v>
      </c>
      <c r="B111" s="182" t="s">
        <v>2833</v>
      </c>
      <c r="C111" s="182" t="s">
        <v>174</v>
      </c>
      <c r="D111" s="182" t="s">
        <v>120</v>
      </c>
      <c r="E111" s="496">
        <v>37000</v>
      </c>
      <c r="F111" s="325">
        <f t="shared" si="3"/>
        <v>65.960473631854981</v>
      </c>
      <c r="G111" s="326">
        <v>560.94200000000001</v>
      </c>
      <c r="H111" s="182" t="s">
        <v>213</v>
      </c>
      <c r="I111" s="182" t="s">
        <v>2855</v>
      </c>
      <c r="J111" s="182" t="s">
        <v>98</v>
      </c>
      <c r="K111" s="438" t="s">
        <v>1902</v>
      </c>
      <c r="L111" s="182" t="s">
        <v>155</v>
      </c>
      <c r="M111" s="538"/>
      <c r="N111" s="538"/>
      <c r="O111" s="538"/>
    </row>
    <row r="112" spans="1:15" s="433" customFormat="1">
      <c r="A112" s="505">
        <v>45883</v>
      </c>
      <c r="B112" s="182" t="s">
        <v>2835</v>
      </c>
      <c r="C112" s="182" t="s">
        <v>174</v>
      </c>
      <c r="D112" s="182" t="s">
        <v>120</v>
      </c>
      <c r="E112" s="496">
        <v>1000</v>
      </c>
      <c r="F112" s="325">
        <f t="shared" si="3"/>
        <v>1.7827155035636482</v>
      </c>
      <c r="G112" s="326">
        <v>560.94200000000001</v>
      </c>
      <c r="H112" s="182" t="s">
        <v>213</v>
      </c>
      <c r="I112" s="182" t="s">
        <v>2853</v>
      </c>
      <c r="J112" s="182" t="s">
        <v>98</v>
      </c>
      <c r="K112" s="438" t="s">
        <v>1902</v>
      </c>
      <c r="L112" s="182" t="s">
        <v>155</v>
      </c>
      <c r="M112" s="538"/>
      <c r="N112" s="538"/>
      <c r="O112" s="538"/>
    </row>
    <row r="113" spans="1:15" s="433" customFormat="1">
      <c r="A113" s="505">
        <v>45883</v>
      </c>
      <c r="B113" s="182" t="s">
        <v>2836</v>
      </c>
      <c r="C113" s="182" t="s">
        <v>174</v>
      </c>
      <c r="D113" s="182" t="s">
        <v>120</v>
      </c>
      <c r="E113" s="496">
        <v>500</v>
      </c>
      <c r="F113" s="325">
        <f t="shared" si="3"/>
        <v>0.89135775178182408</v>
      </c>
      <c r="G113" s="326">
        <v>560.94200000000001</v>
      </c>
      <c r="H113" s="182" t="s">
        <v>213</v>
      </c>
      <c r="I113" s="182" t="s">
        <v>2853</v>
      </c>
      <c r="J113" s="182" t="s">
        <v>98</v>
      </c>
      <c r="K113" s="438" t="s">
        <v>1902</v>
      </c>
      <c r="L113" s="182" t="s">
        <v>155</v>
      </c>
      <c r="M113" s="538"/>
      <c r="N113" s="538"/>
      <c r="O113" s="538"/>
    </row>
    <row r="114" spans="1:15" s="433" customFormat="1">
      <c r="A114" s="505">
        <v>45883</v>
      </c>
      <c r="B114" s="182" t="s">
        <v>2837</v>
      </c>
      <c r="C114" s="182" t="s">
        <v>177</v>
      </c>
      <c r="D114" s="182" t="s">
        <v>120</v>
      </c>
      <c r="E114" s="496">
        <v>200000</v>
      </c>
      <c r="F114" s="325">
        <f t="shared" si="3"/>
        <v>356.54310071272965</v>
      </c>
      <c r="G114" s="326">
        <v>560.94200000000001</v>
      </c>
      <c r="H114" s="182" t="s">
        <v>213</v>
      </c>
      <c r="I114" s="182" t="s">
        <v>2856</v>
      </c>
      <c r="J114" s="182" t="s">
        <v>98</v>
      </c>
      <c r="K114" s="438" t="s">
        <v>1902</v>
      </c>
      <c r="L114" s="182" t="s">
        <v>155</v>
      </c>
      <c r="M114" s="538"/>
      <c r="N114" s="538"/>
      <c r="O114" s="538"/>
    </row>
    <row r="115" spans="1:15" s="433" customFormat="1">
      <c r="A115" s="505">
        <v>45883</v>
      </c>
      <c r="B115" s="182" t="s">
        <v>2867</v>
      </c>
      <c r="C115" s="182" t="s">
        <v>174</v>
      </c>
      <c r="D115" s="182" t="s">
        <v>117</v>
      </c>
      <c r="E115" s="182">
        <v>1500</v>
      </c>
      <c r="F115" s="325">
        <f t="shared" si="3"/>
        <v>2.6740732553454722</v>
      </c>
      <c r="G115" s="326">
        <v>560.94200000000001</v>
      </c>
      <c r="H115" s="182" t="s">
        <v>187</v>
      </c>
      <c r="I115" s="182" t="s">
        <v>2880</v>
      </c>
      <c r="J115" s="182" t="s">
        <v>98</v>
      </c>
      <c r="K115" s="438" t="s">
        <v>1902</v>
      </c>
      <c r="L115" s="182" t="s">
        <v>155</v>
      </c>
      <c r="M115" s="538"/>
      <c r="N115" s="538"/>
      <c r="O115" s="538"/>
    </row>
    <row r="116" spans="1:15" s="433" customFormat="1">
      <c r="A116" s="505">
        <v>45883</v>
      </c>
      <c r="B116" s="182" t="s">
        <v>2868</v>
      </c>
      <c r="C116" s="182" t="s">
        <v>174</v>
      </c>
      <c r="D116" s="182" t="s">
        <v>117</v>
      </c>
      <c r="E116" s="182">
        <v>1500</v>
      </c>
      <c r="F116" s="325">
        <f t="shared" si="3"/>
        <v>2.6740732553454722</v>
      </c>
      <c r="G116" s="326">
        <v>560.94200000000001</v>
      </c>
      <c r="H116" s="182" t="s">
        <v>187</v>
      </c>
      <c r="I116" s="182" t="s">
        <v>2880</v>
      </c>
      <c r="J116" s="182" t="s">
        <v>98</v>
      </c>
      <c r="K116" s="438" t="s">
        <v>1902</v>
      </c>
      <c r="L116" s="182" t="s">
        <v>155</v>
      </c>
      <c r="M116" s="538"/>
      <c r="N116" s="538"/>
      <c r="O116" s="538"/>
    </row>
    <row r="117" spans="1:15" s="433" customFormat="1">
      <c r="A117" s="508">
        <v>45883</v>
      </c>
      <c r="B117" s="367" t="s">
        <v>2892</v>
      </c>
      <c r="C117" s="439" t="s">
        <v>127</v>
      </c>
      <c r="D117" s="444" t="s">
        <v>119</v>
      </c>
      <c r="E117" s="435">
        <v>1311000</v>
      </c>
      <c r="F117" s="325">
        <f t="shared" si="3"/>
        <v>2337.1400251719429</v>
      </c>
      <c r="G117" s="326">
        <v>560.94200000000001</v>
      </c>
      <c r="H117" s="182" t="s">
        <v>148</v>
      </c>
      <c r="I117" s="182" t="s">
        <v>2914</v>
      </c>
      <c r="J117" s="182" t="s">
        <v>98</v>
      </c>
      <c r="K117" s="438" t="s">
        <v>1902</v>
      </c>
      <c r="L117" s="182" t="s">
        <v>155</v>
      </c>
      <c r="M117" s="538"/>
      <c r="N117" s="538"/>
      <c r="O117" s="538"/>
    </row>
    <row r="118" spans="1:15" s="433" customFormat="1">
      <c r="A118" s="508">
        <v>45883</v>
      </c>
      <c r="B118" s="367" t="s">
        <v>2893</v>
      </c>
      <c r="C118" s="182" t="s">
        <v>123</v>
      </c>
      <c r="D118" s="182" t="s">
        <v>117</v>
      </c>
      <c r="E118" s="435">
        <v>300000</v>
      </c>
      <c r="F118" s="325">
        <f t="shared" si="3"/>
        <v>534.81465106909445</v>
      </c>
      <c r="G118" s="326">
        <v>560.94200000000001</v>
      </c>
      <c r="H118" s="182" t="s">
        <v>148</v>
      </c>
      <c r="I118" s="182" t="s">
        <v>2915</v>
      </c>
      <c r="J118" s="182" t="s">
        <v>98</v>
      </c>
      <c r="K118" s="438" t="s">
        <v>1902</v>
      </c>
      <c r="L118" s="182" t="s">
        <v>155</v>
      </c>
      <c r="M118" s="538"/>
      <c r="N118" s="538"/>
      <c r="O118" s="538"/>
    </row>
    <row r="119" spans="1:15" s="433" customFormat="1">
      <c r="A119" s="467">
        <v>45884</v>
      </c>
      <c r="B119" s="177" t="s">
        <v>2457</v>
      </c>
      <c r="C119" s="177" t="s">
        <v>2456</v>
      </c>
      <c r="D119" s="177" t="s">
        <v>117</v>
      </c>
      <c r="E119" s="527">
        <v>15000</v>
      </c>
      <c r="F119" s="325">
        <f t="shared" si="3"/>
        <v>26.740732553454723</v>
      </c>
      <c r="G119" s="326">
        <v>560.94200000000001</v>
      </c>
      <c r="H119" s="177" t="s">
        <v>200</v>
      </c>
      <c r="I119" s="516" t="s">
        <v>2979</v>
      </c>
      <c r="J119" s="182" t="s">
        <v>98</v>
      </c>
      <c r="K119" s="438" t="s">
        <v>1902</v>
      </c>
      <c r="L119" s="182" t="s">
        <v>155</v>
      </c>
      <c r="M119" s="438"/>
      <c r="N119" s="438"/>
      <c r="O119" s="438"/>
    </row>
    <row r="120" spans="1:15" s="433" customFormat="1">
      <c r="A120" s="536">
        <v>45884</v>
      </c>
      <c r="B120" s="516" t="s">
        <v>2458</v>
      </c>
      <c r="C120" s="516" t="s">
        <v>174</v>
      </c>
      <c r="D120" s="516" t="s">
        <v>117</v>
      </c>
      <c r="E120" s="526">
        <v>500</v>
      </c>
      <c r="F120" s="325">
        <f t="shared" si="3"/>
        <v>0.89135775178182408</v>
      </c>
      <c r="G120" s="326">
        <v>560.94200000000001</v>
      </c>
      <c r="H120" s="177" t="s">
        <v>200</v>
      </c>
      <c r="I120" s="516" t="s">
        <v>2489</v>
      </c>
      <c r="J120" s="182" t="s">
        <v>98</v>
      </c>
      <c r="K120" s="438" t="s">
        <v>1902</v>
      </c>
      <c r="L120" s="182" t="s">
        <v>155</v>
      </c>
      <c r="M120" s="438"/>
      <c r="N120" s="438"/>
      <c r="O120" s="438"/>
    </row>
    <row r="121" spans="1:15" s="433" customFormat="1">
      <c r="A121" s="536">
        <v>45884</v>
      </c>
      <c r="B121" s="516" t="s">
        <v>2459</v>
      </c>
      <c r="C121" s="516" t="s">
        <v>174</v>
      </c>
      <c r="D121" s="516" t="s">
        <v>117</v>
      </c>
      <c r="E121" s="526">
        <v>500</v>
      </c>
      <c r="F121" s="325">
        <f t="shared" si="3"/>
        <v>0.89135775178182408</v>
      </c>
      <c r="G121" s="326">
        <v>560.94200000000001</v>
      </c>
      <c r="H121" s="177" t="s">
        <v>200</v>
      </c>
      <c r="I121" s="516" t="s">
        <v>2489</v>
      </c>
      <c r="J121" s="182" t="s">
        <v>98</v>
      </c>
      <c r="K121" s="438" t="s">
        <v>1902</v>
      </c>
      <c r="L121" s="182" t="s">
        <v>155</v>
      </c>
      <c r="M121" s="438"/>
      <c r="N121" s="438"/>
      <c r="O121" s="438"/>
    </row>
    <row r="122" spans="1:15" s="433" customFormat="1">
      <c r="A122" s="503">
        <v>45884</v>
      </c>
      <c r="B122" s="182" t="s">
        <v>2460</v>
      </c>
      <c r="C122" s="517" t="s">
        <v>152</v>
      </c>
      <c r="D122" s="517" t="s">
        <v>117</v>
      </c>
      <c r="E122" s="526">
        <v>5000</v>
      </c>
      <c r="F122" s="325">
        <f t="shared" si="3"/>
        <v>8.9135775178182417</v>
      </c>
      <c r="G122" s="326">
        <v>560.94200000000001</v>
      </c>
      <c r="H122" s="177" t="s">
        <v>200</v>
      </c>
      <c r="I122" s="516" t="s">
        <v>2980</v>
      </c>
      <c r="J122" s="182" t="s">
        <v>98</v>
      </c>
      <c r="K122" s="438" t="s">
        <v>1902</v>
      </c>
      <c r="L122" s="182" t="s">
        <v>155</v>
      </c>
      <c r="M122" s="438"/>
      <c r="N122" s="438"/>
      <c r="O122" s="438"/>
    </row>
    <row r="123" spans="1:15" s="433" customFormat="1">
      <c r="A123" s="504">
        <v>45884</v>
      </c>
      <c r="B123" s="182" t="s">
        <v>2512</v>
      </c>
      <c r="C123" s="182" t="s">
        <v>174</v>
      </c>
      <c r="D123" s="182" t="s">
        <v>118</v>
      </c>
      <c r="E123" s="435">
        <v>1500</v>
      </c>
      <c r="F123" s="325">
        <f t="shared" si="3"/>
        <v>2.6740732553454722</v>
      </c>
      <c r="G123" s="326">
        <v>560.94200000000001</v>
      </c>
      <c r="H123" s="182" t="s">
        <v>583</v>
      </c>
      <c r="I123" s="182" t="s">
        <v>2536</v>
      </c>
      <c r="J123" s="182" t="s">
        <v>98</v>
      </c>
      <c r="K123" s="438" t="s">
        <v>1902</v>
      </c>
      <c r="L123" s="182" t="s">
        <v>155</v>
      </c>
      <c r="M123" s="438"/>
      <c r="N123" s="438"/>
      <c r="O123" s="438"/>
    </row>
    <row r="124" spans="1:15" s="433" customFormat="1">
      <c r="A124" s="504">
        <v>45884</v>
      </c>
      <c r="B124" s="182" t="s">
        <v>2513</v>
      </c>
      <c r="C124" s="182" t="s">
        <v>174</v>
      </c>
      <c r="D124" s="182" t="s">
        <v>118</v>
      </c>
      <c r="E124" s="435">
        <v>1500</v>
      </c>
      <c r="F124" s="325">
        <f t="shared" si="3"/>
        <v>2.6740732553454722</v>
      </c>
      <c r="G124" s="326">
        <v>560.94200000000001</v>
      </c>
      <c r="H124" s="182" t="s">
        <v>583</v>
      </c>
      <c r="I124" s="182" t="s">
        <v>2536</v>
      </c>
      <c r="J124" s="182" t="s">
        <v>98</v>
      </c>
      <c r="K124" s="438" t="s">
        <v>1902</v>
      </c>
      <c r="L124" s="182" t="s">
        <v>155</v>
      </c>
      <c r="M124" s="438"/>
      <c r="N124" s="438"/>
      <c r="O124" s="438"/>
    </row>
    <row r="125" spans="1:15" s="433" customFormat="1">
      <c r="A125" s="467">
        <v>45884</v>
      </c>
      <c r="B125" s="177" t="s">
        <v>3032</v>
      </c>
      <c r="C125" s="177" t="s">
        <v>174</v>
      </c>
      <c r="D125" s="177" t="s">
        <v>121</v>
      </c>
      <c r="E125" s="177">
        <v>1000</v>
      </c>
      <c r="F125" s="325">
        <f t="shared" si="3"/>
        <v>1.7827155035636482</v>
      </c>
      <c r="G125" s="326">
        <v>560.94200000000001</v>
      </c>
      <c r="H125" s="177" t="s">
        <v>184</v>
      </c>
      <c r="I125" s="177" t="s">
        <v>2558</v>
      </c>
      <c r="J125" s="182" t="s">
        <v>98</v>
      </c>
      <c r="K125" s="438" t="s">
        <v>1902</v>
      </c>
      <c r="L125" s="182" t="s">
        <v>155</v>
      </c>
      <c r="M125" s="438"/>
      <c r="N125" s="438"/>
      <c r="O125" s="438"/>
    </row>
    <row r="126" spans="1:15" s="433" customFormat="1">
      <c r="A126" s="467">
        <v>45884</v>
      </c>
      <c r="B126" s="177" t="s">
        <v>3026</v>
      </c>
      <c r="C126" s="177" t="s">
        <v>177</v>
      </c>
      <c r="D126" s="177" t="s">
        <v>121</v>
      </c>
      <c r="E126" s="177">
        <v>15000</v>
      </c>
      <c r="F126" s="325">
        <f t="shared" si="3"/>
        <v>26.740732553454723</v>
      </c>
      <c r="G126" s="326">
        <v>560.94200000000001</v>
      </c>
      <c r="H126" s="177" t="s">
        <v>184</v>
      </c>
      <c r="I126" s="177" t="s">
        <v>2564</v>
      </c>
      <c r="J126" s="182" t="s">
        <v>98</v>
      </c>
      <c r="K126" s="438" t="s">
        <v>1902</v>
      </c>
      <c r="L126" s="182" t="s">
        <v>155</v>
      </c>
      <c r="M126" s="438"/>
      <c r="N126" s="438"/>
      <c r="O126" s="438"/>
    </row>
    <row r="127" spans="1:15" s="433" customFormat="1">
      <c r="A127" s="467">
        <v>45884</v>
      </c>
      <c r="B127" s="177" t="s">
        <v>3033</v>
      </c>
      <c r="C127" s="177" t="s">
        <v>174</v>
      </c>
      <c r="D127" s="177" t="s">
        <v>121</v>
      </c>
      <c r="E127" s="177">
        <v>1000</v>
      </c>
      <c r="F127" s="325">
        <f t="shared" si="3"/>
        <v>1.7827155035636482</v>
      </c>
      <c r="G127" s="326">
        <v>560.94200000000001</v>
      </c>
      <c r="H127" s="177" t="s">
        <v>184</v>
      </c>
      <c r="I127" s="177" t="s">
        <v>2558</v>
      </c>
      <c r="J127" s="182" t="s">
        <v>98</v>
      </c>
      <c r="K127" s="438" t="s">
        <v>1902</v>
      </c>
      <c r="L127" s="182" t="s">
        <v>155</v>
      </c>
      <c r="M127" s="438"/>
      <c r="N127" s="438"/>
      <c r="O127" s="438"/>
    </row>
    <row r="128" spans="1:15" s="433" customFormat="1">
      <c r="A128" s="467">
        <v>45884</v>
      </c>
      <c r="B128" s="177" t="s">
        <v>2550</v>
      </c>
      <c r="C128" s="177" t="s">
        <v>152</v>
      </c>
      <c r="D128" s="177" t="s">
        <v>2551</v>
      </c>
      <c r="E128" s="177">
        <v>5000</v>
      </c>
      <c r="F128" s="325">
        <f t="shared" si="3"/>
        <v>8.9135775178182417</v>
      </c>
      <c r="G128" s="326">
        <v>560.94200000000001</v>
      </c>
      <c r="H128" s="177" t="s">
        <v>184</v>
      </c>
      <c r="I128" s="177" t="s">
        <v>2565</v>
      </c>
      <c r="J128" s="182" t="s">
        <v>98</v>
      </c>
      <c r="K128" s="438" t="s">
        <v>1902</v>
      </c>
      <c r="L128" s="182" t="s">
        <v>155</v>
      </c>
      <c r="M128" s="438"/>
      <c r="N128" s="438"/>
      <c r="O128" s="438"/>
    </row>
    <row r="129" spans="1:15" s="433" customFormat="1">
      <c r="A129" s="505">
        <v>45884</v>
      </c>
      <c r="B129" s="182" t="s">
        <v>2992</v>
      </c>
      <c r="C129" s="182" t="s">
        <v>2456</v>
      </c>
      <c r="D129" s="177" t="s">
        <v>121</v>
      </c>
      <c r="E129" s="182">
        <v>15000</v>
      </c>
      <c r="F129" s="325">
        <f t="shared" si="3"/>
        <v>26.740732553454723</v>
      </c>
      <c r="G129" s="326">
        <v>560.94200000000001</v>
      </c>
      <c r="H129" s="182" t="s">
        <v>175</v>
      </c>
      <c r="I129" s="182" t="s">
        <v>2594</v>
      </c>
      <c r="J129" s="182" t="s">
        <v>98</v>
      </c>
      <c r="K129" s="438" t="s">
        <v>1902</v>
      </c>
      <c r="L129" s="182" t="s">
        <v>155</v>
      </c>
      <c r="M129" s="538"/>
      <c r="N129" s="538"/>
      <c r="O129" s="538"/>
    </row>
    <row r="130" spans="1:15" s="433" customFormat="1">
      <c r="A130" s="505">
        <v>45884</v>
      </c>
      <c r="B130" s="182" t="s">
        <v>2583</v>
      </c>
      <c r="C130" s="182" t="s">
        <v>174</v>
      </c>
      <c r="D130" s="177" t="s">
        <v>121</v>
      </c>
      <c r="E130" s="182">
        <v>500</v>
      </c>
      <c r="F130" s="325">
        <f t="shared" si="3"/>
        <v>0.89135775178182408</v>
      </c>
      <c r="G130" s="326">
        <v>560.94200000000001</v>
      </c>
      <c r="H130" s="182" t="s">
        <v>175</v>
      </c>
      <c r="I130" s="182" t="s">
        <v>2588</v>
      </c>
      <c r="J130" s="182" t="s">
        <v>98</v>
      </c>
      <c r="K130" s="438" t="s">
        <v>1902</v>
      </c>
      <c r="L130" s="182" t="s">
        <v>155</v>
      </c>
      <c r="M130" s="538"/>
      <c r="N130" s="538"/>
      <c r="O130" s="538"/>
    </row>
    <row r="131" spans="1:15" s="433" customFormat="1">
      <c r="A131" s="505">
        <v>45884</v>
      </c>
      <c r="B131" s="182" t="s">
        <v>2584</v>
      </c>
      <c r="C131" s="182" t="s">
        <v>174</v>
      </c>
      <c r="D131" s="177" t="s">
        <v>121</v>
      </c>
      <c r="E131" s="182">
        <v>500</v>
      </c>
      <c r="F131" s="325">
        <f t="shared" si="3"/>
        <v>0.89135775178182408</v>
      </c>
      <c r="G131" s="326">
        <v>560.94200000000001</v>
      </c>
      <c r="H131" s="182" t="s">
        <v>175</v>
      </c>
      <c r="I131" s="182" t="s">
        <v>2588</v>
      </c>
      <c r="J131" s="182" t="s">
        <v>98</v>
      </c>
      <c r="K131" s="438" t="s">
        <v>1902</v>
      </c>
      <c r="L131" s="182" t="s">
        <v>155</v>
      </c>
      <c r="M131" s="538"/>
      <c r="N131" s="538"/>
      <c r="O131" s="538"/>
    </row>
    <row r="132" spans="1:15" s="433" customFormat="1">
      <c r="A132" s="505">
        <v>45884</v>
      </c>
      <c r="B132" s="177" t="s">
        <v>2585</v>
      </c>
      <c r="C132" s="177" t="s">
        <v>152</v>
      </c>
      <c r="D132" s="177" t="s">
        <v>121</v>
      </c>
      <c r="E132" s="182">
        <v>5000</v>
      </c>
      <c r="F132" s="325">
        <f t="shared" ref="F132:F195" si="4">E132/G132</f>
        <v>8.9135775178182417</v>
      </c>
      <c r="G132" s="326">
        <v>560.94200000000001</v>
      </c>
      <c r="H132" s="182" t="s">
        <v>175</v>
      </c>
      <c r="I132" s="182" t="s">
        <v>2595</v>
      </c>
      <c r="J132" s="182" t="s">
        <v>98</v>
      </c>
      <c r="K132" s="438" t="s">
        <v>1902</v>
      </c>
      <c r="L132" s="182" t="s">
        <v>155</v>
      </c>
      <c r="M132" s="538"/>
      <c r="N132" s="538"/>
      <c r="O132" s="538"/>
    </row>
    <row r="133" spans="1:15" s="433" customFormat="1">
      <c r="A133" s="503">
        <v>45884</v>
      </c>
      <c r="B133" s="182" t="s">
        <v>2773</v>
      </c>
      <c r="C133" s="182" t="s">
        <v>177</v>
      </c>
      <c r="D133" s="182" t="s">
        <v>117</v>
      </c>
      <c r="E133" s="496">
        <v>15000</v>
      </c>
      <c r="F133" s="325">
        <f t="shared" si="4"/>
        <v>26.740732553454723</v>
      </c>
      <c r="G133" s="326">
        <v>560.94200000000001</v>
      </c>
      <c r="H133" s="517" t="s">
        <v>437</v>
      </c>
      <c r="I133" s="182" t="s">
        <v>2819</v>
      </c>
      <c r="J133" s="182" t="s">
        <v>98</v>
      </c>
      <c r="K133" s="438" t="s">
        <v>1902</v>
      </c>
      <c r="L133" s="182" t="s">
        <v>155</v>
      </c>
      <c r="M133" s="538"/>
      <c r="N133" s="538"/>
      <c r="O133" s="538"/>
    </row>
    <row r="134" spans="1:15" s="433" customFormat="1">
      <c r="A134" s="503">
        <v>45884</v>
      </c>
      <c r="B134" s="182" t="s">
        <v>2774</v>
      </c>
      <c r="C134" s="517" t="s">
        <v>196</v>
      </c>
      <c r="D134" s="517" t="s">
        <v>117</v>
      </c>
      <c r="E134" s="496">
        <v>500</v>
      </c>
      <c r="F134" s="325">
        <f t="shared" si="4"/>
        <v>0.89135775178182408</v>
      </c>
      <c r="G134" s="326">
        <v>560.94200000000001</v>
      </c>
      <c r="H134" s="517" t="s">
        <v>437</v>
      </c>
      <c r="I134" s="182" t="s">
        <v>2817</v>
      </c>
      <c r="J134" s="182" t="s">
        <v>98</v>
      </c>
      <c r="K134" s="438" t="s">
        <v>1902</v>
      </c>
      <c r="L134" s="182" t="s">
        <v>155</v>
      </c>
      <c r="M134" s="538"/>
      <c r="N134" s="538"/>
      <c r="O134" s="538"/>
    </row>
    <row r="135" spans="1:15" s="433" customFormat="1">
      <c r="A135" s="503">
        <v>45884</v>
      </c>
      <c r="B135" s="182" t="s">
        <v>2775</v>
      </c>
      <c r="C135" s="517" t="s">
        <v>196</v>
      </c>
      <c r="D135" s="517" t="s">
        <v>117</v>
      </c>
      <c r="E135" s="496">
        <v>500</v>
      </c>
      <c r="F135" s="325">
        <f t="shared" si="4"/>
        <v>0.89135775178182408</v>
      </c>
      <c r="G135" s="326">
        <v>560.94200000000001</v>
      </c>
      <c r="H135" s="517" t="s">
        <v>437</v>
      </c>
      <c r="I135" s="182" t="s">
        <v>2817</v>
      </c>
      <c r="J135" s="182" t="s">
        <v>98</v>
      </c>
      <c r="K135" s="438" t="s">
        <v>1902</v>
      </c>
      <c r="L135" s="182" t="s">
        <v>155</v>
      </c>
      <c r="M135" s="538"/>
      <c r="N135" s="538"/>
      <c r="O135" s="538"/>
    </row>
    <row r="136" spans="1:15" s="433" customFormat="1">
      <c r="A136" s="503">
        <v>45884</v>
      </c>
      <c r="B136" s="182" t="s">
        <v>2460</v>
      </c>
      <c r="C136" s="517" t="s">
        <v>152</v>
      </c>
      <c r="D136" s="517" t="s">
        <v>117</v>
      </c>
      <c r="E136" s="496">
        <v>5000</v>
      </c>
      <c r="F136" s="325">
        <f t="shared" si="4"/>
        <v>8.9135775178182417</v>
      </c>
      <c r="G136" s="326">
        <v>560.94200000000001</v>
      </c>
      <c r="H136" s="517" t="s">
        <v>437</v>
      </c>
      <c r="I136" s="182" t="s">
        <v>2820</v>
      </c>
      <c r="J136" s="182" t="s">
        <v>98</v>
      </c>
      <c r="K136" s="438" t="s">
        <v>1902</v>
      </c>
      <c r="L136" s="182" t="s">
        <v>155</v>
      </c>
      <c r="M136" s="538"/>
      <c r="N136" s="538"/>
      <c r="O136" s="538"/>
    </row>
    <row r="137" spans="1:15" s="433" customFormat="1">
      <c r="A137" s="505">
        <v>45884</v>
      </c>
      <c r="B137" s="182" t="s">
        <v>2885</v>
      </c>
      <c r="C137" s="182" t="s">
        <v>177</v>
      </c>
      <c r="D137" s="182" t="s">
        <v>120</v>
      </c>
      <c r="E137" s="496">
        <v>15000</v>
      </c>
      <c r="F137" s="325">
        <f t="shared" si="4"/>
        <v>26.740732553454723</v>
      </c>
      <c r="G137" s="326">
        <v>560.94200000000001</v>
      </c>
      <c r="H137" s="182" t="s">
        <v>213</v>
      </c>
      <c r="I137" s="182" t="s">
        <v>2857</v>
      </c>
      <c r="J137" s="182" t="s">
        <v>98</v>
      </c>
      <c r="K137" s="438" t="s">
        <v>1902</v>
      </c>
      <c r="L137" s="182" t="s">
        <v>155</v>
      </c>
      <c r="M137" s="538"/>
      <c r="N137" s="538"/>
      <c r="O137" s="538"/>
    </row>
    <row r="138" spans="1:15" s="433" customFormat="1">
      <c r="A138" s="505">
        <v>45884</v>
      </c>
      <c r="B138" s="182" t="s">
        <v>2838</v>
      </c>
      <c r="C138" s="182" t="s">
        <v>174</v>
      </c>
      <c r="D138" s="182" t="s">
        <v>120</v>
      </c>
      <c r="E138" s="496">
        <v>500</v>
      </c>
      <c r="F138" s="325">
        <f t="shared" si="4"/>
        <v>0.89135775178182408</v>
      </c>
      <c r="G138" s="326">
        <v>560.94200000000001</v>
      </c>
      <c r="H138" s="182" t="s">
        <v>213</v>
      </c>
      <c r="I138" s="182" t="s">
        <v>2853</v>
      </c>
      <c r="J138" s="182" t="s">
        <v>98</v>
      </c>
      <c r="K138" s="438" t="s">
        <v>1902</v>
      </c>
      <c r="L138" s="182" t="s">
        <v>155</v>
      </c>
      <c r="M138" s="538"/>
      <c r="N138" s="538"/>
      <c r="O138" s="538"/>
    </row>
    <row r="139" spans="1:15" s="433" customFormat="1">
      <c r="A139" s="505">
        <v>45884</v>
      </c>
      <c r="B139" s="182" t="s">
        <v>2460</v>
      </c>
      <c r="C139" s="517" t="s">
        <v>152</v>
      </c>
      <c r="D139" s="182" t="s">
        <v>120</v>
      </c>
      <c r="E139" s="496">
        <v>5000</v>
      </c>
      <c r="F139" s="325">
        <f t="shared" si="4"/>
        <v>8.9135775178182417</v>
      </c>
      <c r="G139" s="326">
        <v>560.94200000000001</v>
      </c>
      <c r="H139" s="182" t="s">
        <v>213</v>
      </c>
      <c r="I139" s="182" t="s">
        <v>2858</v>
      </c>
      <c r="J139" s="182" t="s">
        <v>98</v>
      </c>
      <c r="K139" s="438" t="s">
        <v>1902</v>
      </c>
      <c r="L139" s="182" t="s">
        <v>155</v>
      </c>
      <c r="M139" s="538"/>
      <c r="N139" s="538"/>
      <c r="O139" s="538"/>
    </row>
    <row r="140" spans="1:15" s="433" customFormat="1">
      <c r="A140" s="467">
        <v>45885</v>
      </c>
      <c r="B140" s="177" t="s">
        <v>2461</v>
      </c>
      <c r="C140" s="177" t="s">
        <v>2456</v>
      </c>
      <c r="D140" s="177" t="s">
        <v>117</v>
      </c>
      <c r="E140" s="527">
        <v>15000</v>
      </c>
      <c r="F140" s="325">
        <f t="shared" si="4"/>
        <v>26.740732553454723</v>
      </c>
      <c r="G140" s="326">
        <v>560.94200000000001</v>
      </c>
      <c r="H140" s="177" t="s">
        <v>200</v>
      </c>
      <c r="I140" s="516" t="s">
        <v>2981</v>
      </c>
      <c r="J140" s="182" t="s">
        <v>98</v>
      </c>
      <c r="K140" s="438" t="s">
        <v>1902</v>
      </c>
      <c r="L140" s="182" t="s">
        <v>155</v>
      </c>
      <c r="M140" s="438"/>
      <c r="N140" s="438"/>
      <c r="O140" s="438"/>
    </row>
    <row r="141" spans="1:15" s="433" customFormat="1">
      <c r="A141" s="536">
        <v>45885</v>
      </c>
      <c r="B141" s="516" t="s">
        <v>2462</v>
      </c>
      <c r="C141" s="516" t="s">
        <v>174</v>
      </c>
      <c r="D141" s="516" t="s">
        <v>117</v>
      </c>
      <c r="E141" s="526">
        <v>500</v>
      </c>
      <c r="F141" s="325">
        <f t="shared" si="4"/>
        <v>0.89135775178182408</v>
      </c>
      <c r="G141" s="326">
        <v>560.94200000000001</v>
      </c>
      <c r="H141" s="177" t="s">
        <v>200</v>
      </c>
      <c r="I141" s="516" t="s">
        <v>2489</v>
      </c>
      <c r="J141" s="182" t="s">
        <v>98</v>
      </c>
      <c r="K141" s="438" t="s">
        <v>1902</v>
      </c>
      <c r="L141" s="182" t="s">
        <v>155</v>
      </c>
      <c r="M141" s="438"/>
      <c r="N141" s="438"/>
      <c r="O141" s="438"/>
    </row>
    <row r="142" spans="1:15" s="433" customFormat="1">
      <c r="A142" s="536">
        <v>45885</v>
      </c>
      <c r="B142" s="516" t="s">
        <v>2463</v>
      </c>
      <c r="C142" s="516" t="s">
        <v>174</v>
      </c>
      <c r="D142" s="516" t="s">
        <v>117</v>
      </c>
      <c r="E142" s="526">
        <v>500</v>
      </c>
      <c r="F142" s="325">
        <f t="shared" si="4"/>
        <v>0.89135775178182408</v>
      </c>
      <c r="G142" s="326">
        <v>560.94200000000001</v>
      </c>
      <c r="H142" s="177" t="s">
        <v>200</v>
      </c>
      <c r="I142" s="516" t="s">
        <v>2489</v>
      </c>
      <c r="J142" s="182" t="s">
        <v>98</v>
      </c>
      <c r="K142" s="438" t="s">
        <v>1902</v>
      </c>
      <c r="L142" s="182" t="s">
        <v>155</v>
      </c>
      <c r="M142" s="438"/>
      <c r="N142" s="438"/>
      <c r="O142" s="438"/>
    </row>
    <row r="143" spans="1:15" s="433" customFormat="1">
      <c r="A143" s="467">
        <v>45885</v>
      </c>
      <c r="B143" s="177" t="s">
        <v>3034</v>
      </c>
      <c r="C143" s="177" t="s">
        <v>174</v>
      </c>
      <c r="D143" s="177" t="s">
        <v>121</v>
      </c>
      <c r="E143" s="177">
        <v>1000</v>
      </c>
      <c r="F143" s="325">
        <f t="shared" si="4"/>
        <v>1.7827155035636482</v>
      </c>
      <c r="G143" s="326">
        <v>560.94200000000001</v>
      </c>
      <c r="H143" s="177" t="s">
        <v>184</v>
      </c>
      <c r="I143" s="177" t="s">
        <v>2558</v>
      </c>
      <c r="J143" s="182" t="s">
        <v>98</v>
      </c>
      <c r="K143" s="438" t="s">
        <v>1902</v>
      </c>
      <c r="L143" s="182" t="s">
        <v>155</v>
      </c>
      <c r="M143" s="438"/>
      <c r="N143" s="438"/>
      <c r="O143" s="438"/>
    </row>
    <row r="144" spans="1:15" s="433" customFormat="1">
      <c r="A144" s="467">
        <v>45885</v>
      </c>
      <c r="B144" s="177" t="s">
        <v>3026</v>
      </c>
      <c r="C144" s="177" t="s">
        <v>177</v>
      </c>
      <c r="D144" s="177" t="s">
        <v>121</v>
      </c>
      <c r="E144" s="177">
        <v>15000</v>
      </c>
      <c r="F144" s="325">
        <f t="shared" si="4"/>
        <v>26.740732553454723</v>
      </c>
      <c r="G144" s="326">
        <v>560.94200000000001</v>
      </c>
      <c r="H144" s="177" t="s">
        <v>184</v>
      </c>
      <c r="I144" s="177" t="s">
        <v>2566</v>
      </c>
      <c r="J144" s="182" t="s">
        <v>98</v>
      </c>
      <c r="K144" s="438" t="s">
        <v>1902</v>
      </c>
      <c r="L144" s="182" t="s">
        <v>155</v>
      </c>
      <c r="M144" s="438"/>
      <c r="N144" s="438"/>
      <c r="O144" s="438"/>
    </row>
    <row r="145" spans="1:15" s="433" customFormat="1">
      <c r="A145" s="467">
        <v>45885</v>
      </c>
      <c r="B145" s="177" t="s">
        <v>3035</v>
      </c>
      <c r="C145" s="177" t="s">
        <v>174</v>
      </c>
      <c r="D145" s="177" t="s">
        <v>121</v>
      </c>
      <c r="E145" s="177">
        <v>1000</v>
      </c>
      <c r="F145" s="325">
        <f t="shared" si="4"/>
        <v>1.7827155035636482</v>
      </c>
      <c r="G145" s="326">
        <v>560.94200000000001</v>
      </c>
      <c r="H145" s="177" t="s">
        <v>184</v>
      </c>
      <c r="I145" s="177" t="s">
        <v>2558</v>
      </c>
      <c r="J145" s="182" t="s">
        <v>98</v>
      </c>
      <c r="K145" s="438" t="s">
        <v>1902</v>
      </c>
      <c r="L145" s="182" t="s">
        <v>155</v>
      </c>
      <c r="M145" s="438"/>
      <c r="N145" s="438"/>
      <c r="O145" s="438"/>
    </row>
    <row r="146" spans="1:15" s="433" customFormat="1">
      <c r="A146" s="505">
        <v>45885</v>
      </c>
      <c r="B146" s="182" t="s">
        <v>2992</v>
      </c>
      <c r="C146" s="182" t="s">
        <v>2456</v>
      </c>
      <c r="D146" s="177" t="s">
        <v>121</v>
      </c>
      <c r="E146" s="182">
        <v>15000</v>
      </c>
      <c r="F146" s="325">
        <f t="shared" si="4"/>
        <v>26.740732553454723</v>
      </c>
      <c r="G146" s="326">
        <v>560.94200000000001</v>
      </c>
      <c r="H146" s="182" t="s">
        <v>175</v>
      </c>
      <c r="I146" s="182" t="s">
        <v>2596</v>
      </c>
      <c r="J146" s="182" t="s">
        <v>98</v>
      </c>
      <c r="K146" s="438" t="s">
        <v>1902</v>
      </c>
      <c r="L146" s="182" t="s">
        <v>155</v>
      </c>
      <c r="M146" s="538"/>
      <c r="N146" s="538"/>
      <c r="O146" s="538"/>
    </row>
    <row r="147" spans="1:15" s="433" customFormat="1">
      <c r="A147" s="505">
        <v>45885</v>
      </c>
      <c r="B147" s="182" t="s">
        <v>2586</v>
      </c>
      <c r="C147" s="182" t="s">
        <v>174</v>
      </c>
      <c r="D147" s="177" t="s">
        <v>121</v>
      </c>
      <c r="E147" s="182">
        <v>500</v>
      </c>
      <c r="F147" s="325">
        <f t="shared" si="4"/>
        <v>0.89135775178182408</v>
      </c>
      <c r="G147" s="326">
        <v>560.94200000000001</v>
      </c>
      <c r="H147" s="182" t="s">
        <v>175</v>
      </c>
      <c r="I147" s="182" t="s">
        <v>2588</v>
      </c>
      <c r="J147" s="182" t="s">
        <v>98</v>
      </c>
      <c r="K147" s="438" t="s">
        <v>1902</v>
      </c>
      <c r="L147" s="182" t="s">
        <v>155</v>
      </c>
      <c r="M147" s="538"/>
      <c r="N147" s="538"/>
      <c r="O147" s="538"/>
    </row>
    <row r="148" spans="1:15" s="433" customFormat="1">
      <c r="A148" s="505">
        <v>45885</v>
      </c>
      <c r="B148" s="182" t="s">
        <v>2584</v>
      </c>
      <c r="C148" s="182" t="s">
        <v>174</v>
      </c>
      <c r="D148" s="177" t="s">
        <v>121</v>
      </c>
      <c r="E148" s="182">
        <v>500</v>
      </c>
      <c r="F148" s="325">
        <f t="shared" si="4"/>
        <v>0.89135775178182408</v>
      </c>
      <c r="G148" s="326">
        <v>560.94200000000001</v>
      </c>
      <c r="H148" s="182" t="s">
        <v>175</v>
      </c>
      <c r="I148" s="182" t="s">
        <v>2588</v>
      </c>
      <c r="J148" s="182" t="s">
        <v>98</v>
      </c>
      <c r="K148" s="438" t="s">
        <v>1902</v>
      </c>
      <c r="L148" s="182" t="s">
        <v>155</v>
      </c>
      <c r="M148" s="538"/>
      <c r="N148" s="538"/>
      <c r="O148" s="538"/>
    </row>
    <row r="149" spans="1:15" s="433" customFormat="1">
      <c r="A149" s="503">
        <v>45885</v>
      </c>
      <c r="B149" s="182" t="s">
        <v>2776</v>
      </c>
      <c r="C149" s="182" t="s">
        <v>177</v>
      </c>
      <c r="D149" s="182" t="s">
        <v>117</v>
      </c>
      <c r="E149" s="496">
        <v>15000</v>
      </c>
      <c r="F149" s="325">
        <f t="shared" si="4"/>
        <v>26.740732553454723</v>
      </c>
      <c r="G149" s="326">
        <v>560.94200000000001</v>
      </c>
      <c r="H149" s="517" t="s">
        <v>437</v>
      </c>
      <c r="I149" s="182" t="s">
        <v>2821</v>
      </c>
      <c r="J149" s="182" t="s">
        <v>98</v>
      </c>
      <c r="K149" s="438" t="s">
        <v>1902</v>
      </c>
      <c r="L149" s="182" t="s">
        <v>155</v>
      </c>
      <c r="M149" s="538"/>
      <c r="N149" s="538"/>
      <c r="O149" s="538"/>
    </row>
    <row r="150" spans="1:15" s="546" customFormat="1">
      <c r="A150" s="503">
        <v>45885</v>
      </c>
      <c r="B150" s="182" t="s">
        <v>2777</v>
      </c>
      <c r="C150" s="517" t="s">
        <v>196</v>
      </c>
      <c r="D150" s="517" t="s">
        <v>117</v>
      </c>
      <c r="E150" s="496">
        <v>500</v>
      </c>
      <c r="F150" s="325">
        <f t="shared" si="4"/>
        <v>0.89135775178182408</v>
      </c>
      <c r="G150" s="326">
        <v>560.94200000000001</v>
      </c>
      <c r="H150" s="517" t="s">
        <v>437</v>
      </c>
      <c r="I150" s="182" t="s">
        <v>2817</v>
      </c>
      <c r="J150" s="182" t="s">
        <v>98</v>
      </c>
      <c r="K150" s="438" t="s">
        <v>1902</v>
      </c>
      <c r="L150" s="182" t="s">
        <v>155</v>
      </c>
      <c r="M150" s="538"/>
      <c r="N150" s="538"/>
      <c r="O150" s="538"/>
    </row>
    <row r="151" spans="1:15" s="433" customFormat="1">
      <c r="A151" s="503">
        <v>45885</v>
      </c>
      <c r="B151" s="182" t="s">
        <v>2778</v>
      </c>
      <c r="C151" s="517" t="s">
        <v>196</v>
      </c>
      <c r="D151" s="517" t="s">
        <v>117</v>
      </c>
      <c r="E151" s="496">
        <v>500</v>
      </c>
      <c r="F151" s="325">
        <f t="shared" si="4"/>
        <v>0.89135775178182408</v>
      </c>
      <c r="G151" s="326">
        <v>560.94200000000001</v>
      </c>
      <c r="H151" s="517" t="s">
        <v>437</v>
      </c>
      <c r="I151" s="182" t="s">
        <v>2817</v>
      </c>
      <c r="J151" s="182" t="s">
        <v>98</v>
      </c>
      <c r="K151" s="438" t="s">
        <v>1902</v>
      </c>
      <c r="L151" s="182" t="s">
        <v>155</v>
      </c>
      <c r="M151" s="538"/>
      <c r="N151" s="538"/>
      <c r="O151" s="538"/>
    </row>
    <row r="152" spans="1:15" s="433" customFormat="1">
      <c r="A152" s="505">
        <v>45885</v>
      </c>
      <c r="B152" s="182" t="s">
        <v>2839</v>
      </c>
      <c r="C152" s="182" t="s">
        <v>177</v>
      </c>
      <c r="D152" s="182" t="s">
        <v>120</v>
      </c>
      <c r="E152" s="496">
        <v>15000</v>
      </c>
      <c r="F152" s="325">
        <f t="shared" si="4"/>
        <v>26.740732553454723</v>
      </c>
      <c r="G152" s="326">
        <v>560.94200000000001</v>
      </c>
      <c r="H152" s="182" t="s">
        <v>213</v>
      </c>
      <c r="I152" s="182" t="s">
        <v>2859</v>
      </c>
      <c r="J152" s="182" t="s">
        <v>98</v>
      </c>
      <c r="K152" s="438" t="s">
        <v>1902</v>
      </c>
      <c r="L152" s="182" t="s">
        <v>155</v>
      </c>
      <c r="M152" s="538"/>
      <c r="N152" s="538"/>
      <c r="O152" s="538"/>
    </row>
    <row r="153" spans="1:15" s="433" customFormat="1">
      <c r="A153" s="505">
        <v>45885</v>
      </c>
      <c r="B153" s="182" t="s">
        <v>2840</v>
      </c>
      <c r="C153" s="182" t="s">
        <v>174</v>
      </c>
      <c r="D153" s="182" t="s">
        <v>120</v>
      </c>
      <c r="E153" s="496">
        <v>500</v>
      </c>
      <c r="F153" s="325">
        <f t="shared" si="4"/>
        <v>0.89135775178182408</v>
      </c>
      <c r="G153" s="326">
        <v>560.94200000000001</v>
      </c>
      <c r="H153" s="182" t="s">
        <v>213</v>
      </c>
      <c r="I153" s="182" t="s">
        <v>2853</v>
      </c>
      <c r="J153" s="182" t="s">
        <v>98</v>
      </c>
      <c r="K153" s="438" t="s">
        <v>1902</v>
      </c>
      <c r="L153" s="182" t="s">
        <v>155</v>
      </c>
      <c r="M153" s="538"/>
      <c r="N153" s="538"/>
      <c r="O153" s="538"/>
    </row>
    <row r="154" spans="1:15" s="433" customFormat="1">
      <c r="A154" s="535">
        <v>45887</v>
      </c>
      <c r="B154" s="517" t="s">
        <v>2099</v>
      </c>
      <c r="C154" s="308" t="s">
        <v>174</v>
      </c>
      <c r="D154" s="308" t="s">
        <v>119</v>
      </c>
      <c r="E154" s="517">
        <v>1000</v>
      </c>
      <c r="F154" s="325">
        <f t="shared" si="4"/>
        <v>1.7827155035636482</v>
      </c>
      <c r="G154" s="326">
        <v>560.94200000000001</v>
      </c>
      <c r="H154" s="524" t="s">
        <v>153</v>
      </c>
      <c r="I154" s="525" t="s">
        <v>2494</v>
      </c>
      <c r="J154" s="182" t="s">
        <v>98</v>
      </c>
      <c r="K154" s="438" t="s">
        <v>1902</v>
      </c>
      <c r="L154" s="182" t="s">
        <v>155</v>
      </c>
      <c r="M154" s="438"/>
      <c r="N154" s="438"/>
      <c r="O154" s="438"/>
    </row>
    <row r="155" spans="1:15" s="433" customFormat="1">
      <c r="A155" s="535">
        <v>45887</v>
      </c>
      <c r="B155" s="517" t="s">
        <v>2108</v>
      </c>
      <c r="C155" s="308" t="s">
        <v>174</v>
      </c>
      <c r="D155" s="308" t="s">
        <v>119</v>
      </c>
      <c r="E155" s="517">
        <v>1000</v>
      </c>
      <c r="F155" s="325">
        <f t="shared" si="4"/>
        <v>1.7827155035636482</v>
      </c>
      <c r="G155" s="326">
        <v>560.94200000000001</v>
      </c>
      <c r="H155" s="524" t="s">
        <v>153</v>
      </c>
      <c r="I155" s="525" t="s">
        <v>2494</v>
      </c>
      <c r="J155" s="182" t="s">
        <v>98</v>
      </c>
      <c r="K155" s="438" t="s">
        <v>1902</v>
      </c>
      <c r="L155" s="182" t="s">
        <v>155</v>
      </c>
      <c r="M155" s="438"/>
      <c r="N155" s="438"/>
      <c r="O155" s="438"/>
    </row>
    <row r="156" spans="1:15" s="433" customFormat="1">
      <c r="A156" s="535">
        <v>45887</v>
      </c>
      <c r="B156" s="517" t="s">
        <v>2109</v>
      </c>
      <c r="C156" s="308" t="s">
        <v>174</v>
      </c>
      <c r="D156" s="308" t="s">
        <v>119</v>
      </c>
      <c r="E156" s="517">
        <v>1000</v>
      </c>
      <c r="F156" s="325">
        <f t="shared" si="4"/>
        <v>1.7827155035636482</v>
      </c>
      <c r="G156" s="326">
        <v>560.94200000000001</v>
      </c>
      <c r="H156" s="524" t="s">
        <v>153</v>
      </c>
      <c r="I156" s="525" t="s">
        <v>2494</v>
      </c>
      <c r="J156" s="182" t="s">
        <v>98</v>
      </c>
      <c r="K156" s="438" t="s">
        <v>1902</v>
      </c>
      <c r="L156" s="182" t="s">
        <v>155</v>
      </c>
      <c r="M156" s="438"/>
      <c r="N156" s="438"/>
      <c r="O156" s="438"/>
    </row>
    <row r="157" spans="1:15" s="433" customFormat="1">
      <c r="A157" s="535">
        <v>45887</v>
      </c>
      <c r="B157" s="517" t="s">
        <v>2100</v>
      </c>
      <c r="C157" s="308" t="s">
        <v>174</v>
      </c>
      <c r="D157" s="308" t="s">
        <v>119</v>
      </c>
      <c r="E157" s="517">
        <v>1000</v>
      </c>
      <c r="F157" s="325">
        <f t="shared" si="4"/>
        <v>1.7827155035636482</v>
      </c>
      <c r="G157" s="326">
        <v>560.94200000000001</v>
      </c>
      <c r="H157" s="524" t="s">
        <v>153</v>
      </c>
      <c r="I157" s="525" t="s">
        <v>2494</v>
      </c>
      <c r="J157" s="182" t="s">
        <v>98</v>
      </c>
      <c r="K157" s="438" t="s">
        <v>1902</v>
      </c>
      <c r="L157" s="182" t="s">
        <v>155</v>
      </c>
      <c r="M157" s="438"/>
      <c r="N157" s="438"/>
      <c r="O157" s="438"/>
    </row>
    <row r="158" spans="1:15" s="433" customFormat="1">
      <c r="A158" s="535">
        <v>45887</v>
      </c>
      <c r="B158" s="517" t="s">
        <v>2450</v>
      </c>
      <c r="C158" s="308" t="s">
        <v>152</v>
      </c>
      <c r="D158" s="308" t="s">
        <v>119</v>
      </c>
      <c r="E158" s="517">
        <v>15000</v>
      </c>
      <c r="F158" s="325">
        <f t="shared" si="4"/>
        <v>26.740732553454723</v>
      </c>
      <c r="G158" s="326">
        <v>560.94200000000001</v>
      </c>
      <c r="H158" s="524" t="s">
        <v>153</v>
      </c>
      <c r="I158" s="525" t="s">
        <v>2498</v>
      </c>
      <c r="J158" s="182" t="s">
        <v>98</v>
      </c>
      <c r="K158" s="438" t="s">
        <v>1902</v>
      </c>
      <c r="L158" s="182" t="s">
        <v>155</v>
      </c>
      <c r="M158" s="438"/>
      <c r="N158" s="438"/>
      <c r="O158" s="438"/>
    </row>
    <row r="159" spans="1:15" s="433" customFormat="1">
      <c r="A159" s="535">
        <v>45887</v>
      </c>
      <c r="B159" s="182" t="s">
        <v>2374</v>
      </c>
      <c r="C159" s="308" t="s">
        <v>127</v>
      </c>
      <c r="D159" s="308" t="s">
        <v>119</v>
      </c>
      <c r="E159" s="517">
        <v>300000</v>
      </c>
      <c r="F159" s="325">
        <f t="shared" si="4"/>
        <v>534.81465106909445</v>
      </c>
      <c r="G159" s="326">
        <v>560.94200000000001</v>
      </c>
      <c r="H159" s="182" t="s">
        <v>153</v>
      </c>
      <c r="I159" s="182" t="s">
        <v>2375</v>
      </c>
      <c r="J159" s="182" t="s">
        <v>98</v>
      </c>
      <c r="K159" s="438" t="s">
        <v>1902</v>
      </c>
      <c r="L159" s="182" t="s">
        <v>155</v>
      </c>
      <c r="M159" s="438"/>
      <c r="N159" s="438"/>
      <c r="O159" s="438"/>
    </row>
    <row r="160" spans="1:15" s="433" customFormat="1">
      <c r="A160" s="505">
        <v>45887</v>
      </c>
      <c r="B160" s="182" t="s">
        <v>2464</v>
      </c>
      <c r="C160" s="182" t="s">
        <v>152</v>
      </c>
      <c r="D160" s="182" t="s">
        <v>117</v>
      </c>
      <c r="E160" s="526">
        <v>5000</v>
      </c>
      <c r="F160" s="325">
        <f t="shared" si="4"/>
        <v>8.9135775178182417</v>
      </c>
      <c r="G160" s="326">
        <v>560.94200000000001</v>
      </c>
      <c r="H160" s="177" t="s">
        <v>200</v>
      </c>
      <c r="I160" s="516" t="s">
        <v>2982</v>
      </c>
      <c r="J160" s="182" t="s">
        <v>98</v>
      </c>
      <c r="K160" s="438" t="s">
        <v>1902</v>
      </c>
      <c r="L160" s="182" t="s">
        <v>155</v>
      </c>
      <c r="M160" s="438"/>
      <c r="N160" s="438"/>
      <c r="O160" s="438"/>
    </row>
    <row r="161" spans="1:15" s="433" customFormat="1">
      <c r="A161" s="505">
        <v>45887</v>
      </c>
      <c r="B161" s="182" t="s">
        <v>2465</v>
      </c>
      <c r="C161" s="182" t="s">
        <v>152</v>
      </c>
      <c r="D161" s="182" t="s">
        <v>117</v>
      </c>
      <c r="E161" s="526">
        <v>5000</v>
      </c>
      <c r="F161" s="325">
        <f t="shared" si="4"/>
        <v>8.9135775178182417</v>
      </c>
      <c r="G161" s="326">
        <v>560.94200000000001</v>
      </c>
      <c r="H161" s="177" t="s">
        <v>200</v>
      </c>
      <c r="I161" s="516" t="s">
        <v>2983</v>
      </c>
      <c r="J161" s="182" t="s">
        <v>98</v>
      </c>
      <c r="K161" s="438" t="s">
        <v>1902</v>
      </c>
      <c r="L161" s="182" t="s">
        <v>155</v>
      </c>
      <c r="M161" s="438"/>
      <c r="N161" s="438"/>
      <c r="O161" s="438"/>
    </row>
    <row r="162" spans="1:15" s="433" customFormat="1">
      <c r="A162" s="504">
        <v>45887</v>
      </c>
      <c r="B162" s="182" t="s">
        <v>2514</v>
      </c>
      <c r="C162" s="182" t="s">
        <v>174</v>
      </c>
      <c r="D162" s="182" t="s">
        <v>118</v>
      </c>
      <c r="E162" s="435">
        <v>1000</v>
      </c>
      <c r="F162" s="325">
        <f t="shared" si="4"/>
        <v>1.7827155035636482</v>
      </c>
      <c r="G162" s="326">
        <v>560.94200000000001</v>
      </c>
      <c r="H162" s="182" t="s">
        <v>583</v>
      </c>
      <c r="I162" s="182" t="s">
        <v>2536</v>
      </c>
      <c r="J162" s="182" t="s">
        <v>98</v>
      </c>
      <c r="K162" s="438" t="s">
        <v>1902</v>
      </c>
      <c r="L162" s="182" t="s">
        <v>155</v>
      </c>
      <c r="M162" s="438"/>
      <c r="N162" s="438"/>
      <c r="O162" s="438"/>
    </row>
    <row r="163" spans="1:15" s="433" customFormat="1">
      <c r="A163" s="504">
        <v>45887</v>
      </c>
      <c r="B163" s="182" t="s">
        <v>2515</v>
      </c>
      <c r="C163" s="182" t="s">
        <v>174</v>
      </c>
      <c r="D163" s="182" t="s">
        <v>118</v>
      </c>
      <c r="E163" s="435">
        <v>1000</v>
      </c>
      <c r="F163" s="325">
        <f t="shared" si="4"/>
        <v>1.7827155035636482</v>
      </c>
      <c r="G163" s="326">
        <v>560.94200000000001</v>
      </c>
      <c r="H163" s="182" t="s">
        <v>583</v>
      </c>
      <c r="I163" s="182" t="s">
        <v>2536</v>
      </c>
      <c r="J163" s="182" t="s">
        <v>98</v>
      </c>
      <c r="K163" s="438" t="s">
        <v>1902</v>
      </c>
      <c r="L163" s="182" t="s">
        <v>155</v>
      </c>
      <c r="M163" s="182"/>
      <c r="N163" s="438"/>
      <c r="O163" s="438"/>
    </row>
    <row r="164" spans="1:15" s="433" customFormat="1">
      <c r="A164" s="504">
        <v>45887</v>
      </c>
      <c r="B164" s="182" t="s">
        <v>2516</v>
      </c>
      <c r="C164" s="182" t="s">
        <v>174</v>
      </c>
      <c r="D164" s="182" t="s">
        <v>118</v>
      </c>
      <c r="E164" s="435">
        <v>1000</v>
      </c>
      <c r="F164" s="325">
        <f t="shared" si="4"/>
        <v>1.7827155035636482</v>
      </c>
      <c r="G164" s="326">
        <v>560.94200000000001</v>
      </c>
      <c r="H164" s="182" t="s">
        <v>583</v>
      </c>
      <c r="I164" s="182" t="s">
        <v>2536</v>
      </c>
      <c r="J164" s="182" t="s">
        <v>98</v>
      </c>
      <c r="K164" s="438" t="s">
        <v>1902</v>
      </c>
      <c r="L164" s="182" t="s">
        <v>155</v>
      </c>
      <c r="M164" s="438"/>
      <c r="N164" s="438"/>
      <c r="O164" s="438"/>
    </row>
    <row r="165" spans="1:15" s="433" customFormat="1">
      <c r="A165" s="504">
        <v>45887</v>
      </c>
      <c r="B165" s="182" t="s">
        <v>2517</v>
      </c>
      <c r="C165" s="496" t="s">
        <v>152</v>
      </c>
      <c r="D165" s="182" t="s">
        <v>119</v>
      </c>
      <c r="E165" s="435">
        <v>10000</v>
      </c>
      <c r="F165" s="325">
        <f t="shared" si="4"/>
        <v>17.827155035636483</v>
      </c>
      <c r="G165" s="326">
        <v>560.94200000000001</v>
      </c>
      <c r="H165" s="182" t="s">
        <v>583</v>
      </c>
      <c r="I165" s="182" t="s">
        <v>2539</v>
      </c>
      <c r="J165" s="182" t="s">
        <v>98</v>
      </c>
      <c r="K165" s="438" t="s">
        <v>1902</v>
      </c>
      <c r="L165" s="182" t="s">
        <v>155</v>
      </c>
      <c r="M165" s="438"/>
      <c r="N165" s="438"/>
      <c r="O165" s="438"/>
    </row>
    <row r="166" spans="1:15" s="433" customFormat="1">
      <c r="A166" s="467">
        <v>45887</v>
      </c>
      <c r="B166" s="177" t="s">
        <v>3036</v>
      </c>
      <c r="C166" s="177" t="s">
        <v>174</v>
      </c>
      <c r="D166" s="177" t="s">
        <v>121</v>
      </c>
      <c r="E166" s="177">
        <v>500</v>
      </c>
      <c r="F166" s="325">
        <f t="shared" si="4"/>
        <v>0.89135775178182408</v>
      </c>
      <c r="G166" s="326">
        <v>560.94200000000001</v>
      </c>
      <c r="H166" s="177" t="s">
        <v>184</v>
      </c>
      <c r="I166" s="177" t="s">
        <v>2558</v>
      </c>
      <c r="J166" s="182" t="s">
        <v>98</v>
      </c>
      <c r="K166" s="438" t="s">
        <v>1902</v>
      </c>
      <c r="L166" s="182" t="s">
        <v>155</v>
      </c>
      <c r="M166" s="438"/>
      <c r="N166" s="438"/>
      <c r="O166" s="438"/>
    </row>
    <row r="167" spans="1:15" s="433" customFormat="1">
      <c r="A167" s="467">
        <v>45887</v>
      </c>
      <c r="B167" s="177" t="s">
        <v>3037</v>
      </c>
      <c r="C167" s="177" t="s">
        <v>174</v>
      </c>
      <c r="D167" s="177" t="s">
        <v>121</v>
      </c>
      <c r="E167" s="177">
        <v>500</v>
      </c>
      <c r="F167" s="325">
        <f t="shared" si="4"/>
        <v>0.89135775178182408</v>
      </c>
      <c r="G167" s="326">
        <v>560.94200000000001</v>
      </c>
      <c r="H167" s="177" t="s">
        <v>184</v>
      </c>
      <c r="I167" s="177" t="s">
        <v>2558</v>
      </c>
      <c r="J167" s="182" t="s">
        <v>98</v>
      </c>
      <c r="K167" s="438" t="s">
        <v>1902</v>
      </c>
      <c r="L167" s="182" t="s">
        <v>155</v>
      </c>
      <c r="M167" s="438"/>
      <c r="N167" s="438"/>
      <c r="O167" s="438"/>
    </row>
    <row r="168" spans="1:15" s="433" customFormat="1">
      <c r="A168" s="467">
        <v>45887</v>
      </c>
      <c r="B168" s="177" t="s">
        <v>3038</v>
      </c>
      <c r="C168" s="177" t="s">
        <v>174</v>
      </c>
      <c r="D168" s="177" t="s">
        <v>121</v>
      </c>
      <c r="E168" s="177">
        <v>1000</v>
      </c>
      <c r="F168" s="325">
        <f t="shared" si="4"/>
        <v>1.7827155035636482</v>
      </c>
      <c r="G168" s="326">
        <v>560.94200000000001</v>
      </c>
      <c r="H168" s="177" t="s">
        <v>184</v>
      </c>
      <c r="I168" s="177" t="s">
        <v>2558</v>
      </c>
      <c r="J168" s="182" t="s">
        <v>98</v>
      </c>
      <c r="K168" s="438" t="s">
        <v>1902</v>
      </c>
      <c r="L168" s="182" t="s">
        <v>155</v>
      </c>
      <c r="M168" s="438"/>
      <c r="N168" s="438"/>
      <c r="O168" s="438"/>
    </row>
    <row r="169" spans="1:15" s="433" customFormat="1">
      <c r="A169" s="467">
        <v>45887</v>
      </c>
      <c r="B169" s="177" t="s">
        <v>3039</v>
      </c>
      <c r="C169" s="177" t="s">
        <v>174</v>
      </c>
      <c r="D169" s="177" t="s">
        <v>121</v>
      </c>
      <c r="E169" s="177">
        <v>1000</v>
      </c>
      <c r="F169" s="325">
        <f t="shared" si="4"/>
        <v>1.7827155035636482</v>
      </c>
      <c r="G169" s="326">
        <v>560.94200000000001</v>
      </c>
      <c r="H169" s="177" t="s">
        <v>184</v>
      </c>
      <c r="I169" s="177" t="s">
        <v>2558</v>
      </c>
      <c r="J169" s="182" t="s">
        <v>98</v>
      </c>
      <c r="K169" s="438" t="s">
        <v>1902</v>
      </c>
      <c r="L169" s="182" t="s">
        <v>155</v>
      </c>
      <c r="M169" s="438"/>
      <c r="N169" s="438"/>
      <c r="O169" s="438"/>
    </row>
    <row r="170" spans="1:15" s="433" customFormat="1">
      <c r="A170" s="467">
        <v>45887</v>
      </c>
      <c r="B170" s="177" t="s">
        <v>3040</v>
      </c>
      <c r="C170" s="177" t="s">
        <v>174</v>
      </c>
      <c r="D170" s="177" t="s">
        <v>121</v>
      </c>
      <c r="E170" s="177">
        <v>1000</v>
      </c>
      <c r="F170" s="325">
        <f t="shared" si="4"/>
        <v>1.7827155035636482</v>
      </c>
      <c r="G170" s="326">
        <v>560.94200000000001</v>
      </c>
      <c r="H170" s="177" t="s">
        <v>184</v>
      </c>
      <c r="I170" s="177" t="s">
        <v>2558</v>
      </c>
      <c r="J170" s="182" t="s">
        <v>98</v>
      </c>
      <c r="K170" s="438" t="s">
        <v>1902</v>
      </c>
      <c r="L170" s="182" t="s">
        <v>155</v>
      </c>
      <c r="M170" s="438"/>
      <c r="N170" s="438"/>
      <c r="O170" s="438"/>
    </row>
    <row r="171" spans="1:15" s="433" customFormat="1">
      <c r="A171" s="467">
        <v>45887</v>
      </c>
      <c r="B171" s="177" t="s">
        <v>2548</v>
      </c>
      <c r="C171" s="177" t="s">
        <v>174</v>
      </c>
      <c r="D171" s="177" t="s">
        <v>121</v>
      </c>
      <c r="E171" s="177">
        <v>500</v>
      </c>
      <c r="F171" s="325">
        <f t="shared" si="4"/>
        <v>0.89135775178182408</v>
      </c>
      <c r="G171" s="326">
        <v>560.94200000000001</v>
      </c>
      <c r="H171" s="177" t="s">
        <v>184</v>
      </c>
      <c r="I171" s="177" t="s">
        <v>2558</v>
      </c>
      <c r="J171" s="182" t="s">
        <v>98</v>
      </c>
      <c r="K171" s="438" t="s">
        <v>1902</v>
      </c>
      <c r="L171" s="182" t="s">
        <v>155</v>
      </c>
      <c r="M171" s="438"/>
      <c r="N171" s="438"/>
      <c r="O171" s="438"/>
    </row>
    <row r="172" spans="1:15" s="433" customFormat="1">
      <c r="A172" s="467">
        <v>45887</v>
      </c>
      <c r="B172" s="177" t="s">
        <v>2549</v>
      </c>
      <c r="C172" s="177" t="s">
        <v>174</v>
      </c>
      <c r="D172" s="177" t="s">
        <v>121</v>
      </c>
      <c r="E172" s="177">
        <v>1000</v>
      </c>
      <c r="F172" s="325">
        <f t="shared" si="4"/>
        <v>1.7827155035636482</v>
      </c>
      <c r="G172" s="326">
        <v>560.94200000000001</v>
      </c>
      <c r="H172" s="177" t="s">
        <v>184</v>
      </c>
      <c r="I172" s="177" t="s">
        <v>2558</v>
      </c>
      <c r="J172" s="182" t="s">
        <v>98</v>
      </c>
      <c r="K172" s="438" t="s">
        <v>1902</v>
      </c>
      <c r="L172" s="182" t="s">
        <v>155</v>
      </c>
      <c r="M172" s="438"/>
      <c r="N172" s="438"/>
      <c r="O172" s="438"/>
    </row>
    <row r="173" spans="1:15" s="433" customFormat="1">
      <c r="A173" s="467">
        <v>45887</v>
      </c>
      <c r="B173" s="177" t="s">
        <v>2555</v>
      </c>
      <c r="C173" s="177" t="s">
        <v>152</v>
      </c>
      <c r="D173" s="177" t="s">
        <v>121</v>
      </c>
      <c r="E173" s="177">
        <v>10000</v>
      </c>
      <c r="F173" s="325">
        <f t="shared" si="4"/>
        <v>17.827155035636483</v>
      </c>
      <c r="G173" s="326">
        <v>560.94200000000001</v>
      </c>
      <c r="H173" s="177" t="s">
        <v>184</v>
      </c>
      <c r="I173" s="177" t="s">
        <v>2568</v>
      </c>
      <c r="J173" s="182" t="s">
        <v>98</v>
      </c>
      <c r="K173" s="438" t="s">
        <v>1902</v>
      </c>
      <c r="L173" s="182" t="s">
        <v>155</v>
      </c>
      <c r="M173" s="538"/>
      <c r="N173" s="538"/>
      <c r="O173" s="538"/>
    </row>
    <row r="174" spans="1:15" s="433" customFormat="1">
      <c r="A174" s="467">
        <v>45887</v>
      </c>
      <c r="B174" s="177" t="s">
        <v>2556</v>
      </c>
      <c r="C174" s="177" t="s">
        <v>152</v>
      </c>
      <c r="D174" s="177" t="s">
        <v>2551</v>
      </c>
      <c r="E174" s="177">
        <v>5000</v>
      </c>
      <c r="F174" s="325">
        <f t="shared" si="4"/>
        <v>8.9135775178182417</v>
      </c>
      <c r="G174" s="326">
        <v>560.94200000000001</v>
      </c>
      <c r="H174" s="177" t="s">
        <v>184</v>
      </c>
      <c r="I174" s="177" t="s">
        <v>2569</v>
      </c>
      <c r="J174" s="182" t="s">
        <v>98</v>
      </c>
      <c r="K174" s="438" t="s">
        <v>1902</v>
      </c>
      <c r="L174" s="182" t="s">
        <v>155</v>
      </c>
      <c r="M174" s="538"/>
      <c r="N174" s="538"/>
      <c r="O174" s="538"/>
    </row>
    <row r="175" spans="1:15" s="433" customFormat="1">
      <c r="A175" s="505">
        <v>45887</v>
      </c>
      <c r="B175" s="182" t="s">
        <v>2998</v>
      </c>
      <c r="C175" s="182" t="s">
        <v>174</v>
      </c>
      <c r="D175" s="177" t="s">
        <v>121</v>
      </c>
      <c r="E175" s="182">
        <v>500</v>
      </c>
      <c r="F175" s="325">
        <f t="shared" si="4"/>
        <v>0.89135775178182408</v>
      </c>
      <c r="G175" s="326">
        <v>560.94200000000001</v>
      </c>
      <c r="H175" s="182" t="s">
        <v>175</v>
      </c>
      <c r="I175" s="182" t="s">
        <v>2588</v>
      </c>
      <c r="J175" s="182" t="s">
        <v>98</v>
      </c>
      <c r="K175" s="438" t="s">
        <v>1902</v>
      </c>
      <c r="L175" s="182" t="s">
        <v>155</v>
      </c>
      <c r="M175" s="538"/>
      <c r="N175" s="538"/>
      <c r="O175" s="538"/>
    </row>
    <row r="176" spans="1:15" s="433" customFormat="1">
      <c r="A176" s="505">
        <v>45887</v>
      </c>
      <c r="B176" s="182" t="s">
        <v>2999</v>
      </c>
      <c r="C176" s="182" t="s">
        <v>174</v>
      </c>
      <c r="D176" s="177" t="s">
        <v>121</v>
      </c>
      <c r="E176" s="182">
        <v>500</v>
      </c>
      <c r="F176" s="325">
        <f t="shared" si="4"/>
        <v>0.89135775178182408</v>
      </c>
      <c r="G176" s="326">
        <v>560.94200000000001</v>
      </c>
      <c r="H176" s="182" t="s">
        <v>175</v>
      </c>
      <c r="I176" s="182" t="s">
        <v>2588</v>
      </c>
      <c r="J176" s="182" t="s">
        <v>98</v>
      </c>
      <c r="K176" s="438" t="s">
        <v>1902</v>
      </c>
      <c r="L176" s="182" t="s">
        <v>155</v>
      </c>
      <c r="M176" s="538"/>
      <c r="N176" s="538"/>
      <c r="O176" s="538"/>
    </row>
    <row r="177" spans="1:15" s="433" customFormat="1">
      <c r="A177" s="505">
        <v>45887</v>
      </c>
      <c r="B177" s="182" t="s">
        <v>3000</v>
      </c>
      <c r="C177" s="182" t="s">
        <v>174</v>
      </c>
      <c r="D177" s="177" t="s">
        <v>121</v>
      </c>
      <c r="E177" s="182">
        <v>500</v>
      </c>
      <c r="F177" s="325">
        <f t="shared" si="4"/>
        <v>0.89135775178182408</v>
      </c>
      <c r="G177" s="326">
        <v>560.94200000000001</v>
      </c>
      <c r="H177" s="182" t="s">
        <v>175</v>
      </c>
      <c r="I177" s="182" t="s">
        <v>2588</v>
      </c>
      <c r="J177" s="182" t="s">
        <v>98</v>
      </c>
      <c r="K177" s="438" t="s">
        <v>1902</v>
      </c>
      <c r="L177" s="182" t="s">
        <v>155</v>
      </c>
      <c r="M177" s="538"/>
      <c r="N177" s="538"/>
      <c r="O177" s="538"/>
    </row>
    <row r="178" spans="1:15" s="433" customFormat="1">
      <c r="A178" s="505">
        <v>45887</v>
      </c>
      <c r="B178" s="182" t="s">
        <v>3001</v>
      </c>
      <c r="C178" s="182" t="s">
        <v>174</v>
      </c>
      <c r="D178" s="177" t="s">
        <v>121</v>
      </c>
      <c r="E178" s="182">
        <v>500</v>
      </c>
      <c r="F178" s="325">
        <f t="shared" si="4"/>
        <v>0.89135775178182408</v>
      </c>
      <c r="G178" s="326">
        <v>560.94200000000001</v>
      </c>
      <c r="H178" s="182" t="s">
        <v>175</v>
      </c>
      <c r="I178" s="182" t="s">
        <v>2588</v>
      </c>
      <c r="J178" s="182" t="s">
        <v>98</v>
      </c>
      <c r="K178" s="438" t="s">
        <v>1902</v>
      </c>
      <c r="L178" s="182" t="s">
        <v>155</v>
      </c>
      <c r="M178" s="538"/>
      <c r="N178" s="538"/>
      <c r="O178" s="538"/>
    </row>
    <row r="179" spans="1:15" s="433" customFormat="1">
      <c r="A179" s="505">
        <v>45887</v>
      </c>
      <c r="B179" s="177" t="s">
        <v>2585</v>
      </c>
      <c r="C179" s="177" t="s">
        <v>152</v>
      </c>
      <c r="D179" s="177" t="s">
        <v>121</v>
      </c>
      <c r="E179" s="182">
        <v>15000</v>
      </c>
      <c r="F179" s="325">
        <f t="shared" si="4"/>
        <v>26.740732553454723</v>
      </c>
      <c r="G179" s="326">
        <v>560.94200000000001</v>
      </c>
      <c r="H179" s="182" t="s">
        <v>175</v>
      </c>
      <c r="I179" s="182" t="s">
        <v>2598</v>
      </c>
      <c r="J179" s="182" t="s">
        <v>98</v>
      </c>
      <c r="K179" s="438" t="s">
        <v>1902</v>
      </c>
      <c r="L179" s="182" t="s">
        <v>155</v>
      </c>
    </row>
    <row r="180" spans="1:15" s="433" customFormat="1">
      <c r="A180" s="505">
        <v>45887</v>
      </c>
      <c r="B180" s="182" t="s">
        <v>3069</v>
      </c>
      <c r="C180" s="182" t="s">
        <v>174</v>
      </c>
      <c r="D180" s="182" t="s">
        <v>121</v>
      </c>
      <c r="E180" s="182">
        <v>1000</v>
      </c>
      <c r="F180" s="325">
        <f t="shared" si="4"/>
        <v>1.7827155035636482</v>
      </c>
      <c r="G180" s="326">
        <v>560.94200000000001</v>
      </c>
      <c r="H180" s="182" t="s">
        <v>317</v>
      </c>
      <c r="I180" s="182" t="s">
        <v>2632</v>
      </c>
      <c r="J180" s="182" t="s">
        <v>98</v>
      </c>
      <c r="K180" s="438" t="s">
        <v>1902</v>
      </c>
      <c r="L180" s="182" t="s">
        <v>155</v>
      </c>
    </row>
    <row r="181" spans="1:15" s="433" customFormat="1">
      <c r="A181" s="505">
        <v>45887</v>
      </c>
      <c r="B181" s="182" t="s">
        <v>3070</v>
      </c>
      <c r="C181" s="182" t="s">
        <v>174</v>
      </c>
      <c r="D181" s="182" t="s">
        <v>121</v>
      </c>
      <c r="E181" s="182">
        <v>1000</v>
      </c>
      <c r="F181" s="325">
        <f t="shared" si="4"/>
        <v>1.7827155035636482</v>
      </c>
      <c r="G181" s="326">
        <v>560.94200000000001</v>
      </c>
      <c r="H181" s="182" t="s">
        <v>317</v>
      </c>
      <c r="I181" s="182" t="s">
        <v>2632</v>
      </c>
      <c r="J181" s="182" t="s">
        <v>98</v>
      </c>
      <c r="K181" s="438" t="s">
        <v>1902</v>
      </c>
      <c r="L181" s="182" t="s">
        <v>155</v>
      </c>
    </row>
    <row r="182" spans="1:15" s="433" customFormat="1">
      <c r="A182" s="505">
        <v>45887</v>
      </c>
      <c r="B182" s="182" t="s">
        <v>3064</v>
      </c>
      <c r="C182" s="182" t="s">
        <v>174</v>
      </c>
      <c r="D182" s="182" t="s">
        <v>121</v>
      </c>
      <c r="E182" s="182">
        <v>5000</v>
      </c>
      <c r="F182" s="325">
        <f t="shared" si="4"/>
        <v>8.9135775178182417</v>
      </c>
      <c r="G182" s="326">
        <v>560.94200000000001</v>
      </c>
      <c r="H182" s="182" t="s">
        <v>317</v>
      </c>
      <c r="I182" s="182" t="s">
        <v>2635</v>
      </c>
      <c r="J182" s="182" t="s">
        <v>98</v>
      </c>
      <c r="K182" s="438" t="s">
        <v>1902</v>
      </c>
      <c r="L182" s="182" t="s">
        <v>155</v>
      </c>
    </row>
    <row r="183" spans="1:15" s="433" customFormat="1">
      <c r="A183" s="505">
        <v>45887</v>
      </c>
      <c r="B183" s="182" t="s">
        <v>3071</v>
      </c>
      <c r="C183" s="182" t="s">
        <v>174</v>
      </c>
      <c r="D183" s="182" t="s">
        <v>121</v>
      </c>
      <c r="E183" s="182">
        <v>2000</v>
      </c>
      <c r="F183" s="325">
        <f t="shared" si="4"/>
        <v>3.5654310071272963</v>
      </c>
      <c r="G183" s="326">
        <v>560.94200000000001</v>
      </c>
      <c r="H183" s="182" t="s">
        <v>317</v>
      </c>
      <c r="I183" s="182" t="s">
        <v>2632</v>
      </c>
      <c r="J183" s="182" t="s">
        <v>98</v>
      </c>
      <c r="K183" s="438" t="s">
        <v>1902</v>
      </c>
      <c r="L183" s="182" t="s">
        <v>155</v>
      </c>
    </row>
    <row r="184" spans="1:15" s="433" customFormat="1">
      <c r="A184" s="505">
        <v>45887</v>
      </c>
      <c r="B184" s="182" t="s">
        <v>2626</v>
      </c>
      <c r="C184" s="182" t="s">
        <v>152</v>
      </c>
      <c r="D184" s="182" t="s">
        <v>121</v>
      </c>
      <c r="E184" s="182">
        <v>15000</v>
      </c>
      <c r="F184" s="325">
        <f t="shared" si="4"/>
        <v>26.740732553454723</v>
      </c>
      <c r="G184" s="326">
        <v>560.94200000000001</v>
      </c>
      <c r="H184" s="182" t="s">
        <v>317</v>
      </c>
      <c r="I184" s="182" t="s">
        <v>2636</v>
      </c>
      <c r="J184" s="182" t="s">
        <v>98</v>
      </c>
      <c r="K184" s="438" t="s">
        <v>1902</v>
      </c>
      <c r="L184" s="182" t="s">
        <v>155</v>
      </c>
    </row>
    <row r="185" spans="1:15" s="433" customFormat="1">
      <c r="A185" s="505">
        <v>45887</v>
      </c>
      <c r="B185" s="182" t="s">
        <v>3046</v>
      </c>
      <c r="C185" s="182" t="s">
        <v>174</v>
      </c>
      <c r="D185" s="182" t="s">
        <v>121</v>
      </c>
      <c r="E185" s="496">
        <v>12000</v>
      </c>
      <c r="F185" s="325">
        <f t="shared" si="4"/>
        <v>21.392586042763778</v>
      </c>
      <c r="G185" s="326">
        <v>560.94200000000001</v>
      </c>
      <c r="H185" s="182" t="s">
        <v>323</v>
      </c>
      <c r="I185" s="182" t="s">
        <v>2673</v>
      </c>
      <c r="J185" s="182" t="s">
        <v>98</v>
      </c>
      <c r="K185" s="438" t="s">
        <v>1902</v>
      </c>
      <c r="L185" s="182" t="s">
        <v>155</v>
      </c>
    </row>
    <row r="186" spans="1:15" s="433" customFormat="1">
      <c r="A186" s="505">
        <v>45887</v>
      </c>
      <c r="B186" s="182" t="s">
        <v>2659</v>
      </c>
      <c r="C186" s="182" t="s">
        <v>152</v>
      </c>
      <c r="D186" s="182" t="s">
        <v>121</v>
      </c>
      <c r="E186" s="496">
        <v>5000</v>
      </c>
      <c r="F186" s="325">
        <f t="shared" si="4"/>
        <v>8.9135775178182417</v>
      </c>
      <c r="G186" s="326">
        <v>560.94200000000001</v>
      </c>
      <c r="H186" s="182" t="s">
        <v>323</v>
      </c>
      <c r="I186" s="182" t="s">
        <v>2674</v>
      </c>
      <c r="J186" s="182" t="s">
        <v>98</v>
      </c>
      <c r="K186" s="438" t="s">
        <v>1902</v>
      </c>
      <c r="L186" s="182" t="s">
        <v>155</v>
      </c>
    </row>
    <row r="187" spans="1:15" s="433" customFormat="1">
      <c r="A187" s="505">
        <v>45887</v>
      </c>
      <c r="B187" s="182" t="s">
        <v>2660</v>
      </c>
      <c r="C187" s="182" t="s">
        <v>152</v>
      </c>
      <c r="D187" s="182" t="s">
        <v>121</v>
      </c>
      <c r="E187" s="496">
        <v>10000</v>
      </c>
      <c r="F187" s="325">
        <f t="shared" si="4"/>
        <v>17.827155035636483</v>
      </c>
      <c r="G187" s="326">
        <v>560.94200000000001</v>
      </c>
      <c r="H187" s="182" t="s">
        <v>323</v>
      </c>
      <c r="I187" s="182" t="s">
        <v>2675</v>
      </c>
      <c r="J187" s="182" t="s">
        <v>98</v>
      </c>
      <c r="K187" s="438" t="s">
        <v>1902</v>
      </c>
      <c r="L187" s="182" t="s">
        <v>155</v>
      </c>
    </row>
    <row r="188" spans="1:15" s="433" customFormat="1">
      <c r="A188" s="505">
        <v>45887</v>
      </c>
      <c r="B188" s="182" t="s">
        <v>2685</v>
      </c>
      <c r="C188" s="182" t="s">
        <v>174</v>
      </c>
      <c r="D188" s="182" t="s">
        <v>117</v>
      </c>
      <c r="E188" s="435">
        <v>500</v>
      </c>
      <c r="F188" s="325">
        <f t="shared" si="4"/>
        <v>0.89135775178182408</v>
      </c>
      <c r="G188" s="326">
        <v>560.94200000000001</v>
      </c>
      <c r="H188" s="182" t="s">
        <v>190</v>
      </c>
      <c r="I188" s="182" t="s">
        <v>2707</v>
      </c>
      <c r="J188" s="182" t="s">
        <v>98</v>
      </c>
      <c r="K188" s="438" t="s">
        <v>1902</v>
      </c>
      <c r="L188" s="182" t="s">
        <v>155</v>
      </c>
    </row>
    <row r="189" spans="1:15" s="433" customFormat="1">
      <c r="A189" s="505">
        <v>45887</v>
      </c>
      <c r="B189" s="182" t="s">
        <v>2686</v>
      </c>
      <c r="C189" s="182" t="s">
        <v>174</v>
      </c>
      <c r="D189" s="182" t="s">
        <v>117</v>
      </c>
      <c r="E189" s="435">
        <v>500</v>
      </c>
      <c r="F189" s="325">
        <f t="shared" si="4"/>
        <v>0.89135775178182408</v>
      </c>
      <c r="G189" s="326">
        <v>560.94200000000001</v>
      </c>
      <c r="H189" s="182" t="s">
        <v>190</v>
      </c>
      <c r="I189" s="182" t="s">
        <v>2707</v>
      </c>
      <c r="J189" s="182" t="s">
        <v>98</v>
      </c>
      <c r="K189" s="438" t="s">
        <v>1902</v>
      </c>
      <c r="L189" s="182" t="s">
        <v>155</v>
      </c>
    </row>
    <row r="190" spans="1:15" s="433" customFormat="1">
      <c r="A190" s="506">
        <v>45887</v>
      </c>
      <c r="B190" s="182" t="s">
        <v>2370</v>
      </c>
      <c r="C190" s="182" t="s">
        <v>182</v>
      </c>
      <c r="D190" s="182" t="s">
        <v>118</v>
      </c>
      <c r="E190" s="435">
        <v>32940</v>
      </c>
      <c r="F190" s="325">
        <f t="shared" si="4"/>
        <v>58.722648687386574</v>
      </c>
      <c r="G190" s="326">
        <v>560.94200000000001</v>
      </c>
      <c r="H190" s="182" t="s">
        <v>190</v>
      </c>
      <c r="I190" s="182" t="s">
        <v>2371</v>
      </c>
      <c r="J190" s="182" t="s">
        <v>98</v>
      </c>
      <c r="K190" s="438" t="s">
        <v>1902</v>
      </c>
      <c r="L190" s="182" t="s">
        <v>155</v>
      </c>
    </row>
    <row r="191" spans="1:15" s="433" customFormat="1">
      <c r="A191" s="505">
        <v>45887</v>
      </c>
      <c r="B191" s="182" t="s">
        <v>2687</v>
      </c>
      <c r="C191" s="182" t="s">
        <v>152</v>
      </c>
      <c r="D191" s="182" t="s">
        <v>117</v>
      </c>
      <c r="E191" s="435">
        <v>5000</v>
      </c>
      <c r="F191" s="325">
        <f t="shared" si="4"/>
        <v>8.9135775178182417</v>
      </c>
      <c r="G191" s="326">
        <v>560.94200000000001</v>
      </c>
      <c r="H191" s="182" t="s">
        <v>190</v>
      </c>
      <c r="I191" s="182" t="s">
        <v>2708</v>
      </c>
      <c r="J191" s="182" t="s">
        <v>98</v>
      </c>
      <c r="K191" s="438" t="s">
        <v>1902</v>
      </c>
      <c r="L191" s="182" t="s">
        <v>155</v>
      </c>
    </row>
    <row r="192" spans="1:15" s="433" customFormat="1">
      <c r="A192" s="505">
        <v>45887</v>
      </c>
      <c r="B192" s="182" t="s">
        <v>2688</v>
      </c>
      <c r="C192" s="182" t="s">
        <v>152</v>
      </c>
      <c r="D192" s="182" t="s">
        <v>117</v>
      </c>
      <c r="E192" s="435">
        <v>5000</v>
      </c>
      <c r="F192" s="325">
        <f t="shared" si="4"/>
        <v>8.9135775178182417</v>
      </c>
      <c r="G192" s="326">
        <v>560.94200000000001</v>
      </c>
      <c r="H192" s="182" t="s">
        <v>190</v>
      </c>
      <c r="I192" s="182" t="s">
        <v>2709</v>
      </c>
      <c r="J192" s="182" t="s">
        <v>98</v>
      </c>
      <c r="K192" s="438" t="s">
        <v>1902</v>
      </c>
      <c r="L192" s="182" t="s">
        <v>155</v>
      </c>
    </row>
    <row r="193" spans="1:15" s="433" customFormat="1">
      <c r="A193" s="505">
        <v>45887</v>
      </c>
      <c r="B193" s="182" t="s">
        <v>2717</v>
      </c>
      <c r="C193" s="182" t="s">
        <v>174</v>
      </c>
      <c r="D193" s="182" t="s">
        <v>117</v>
      </c>
      <c r="E193" s="435">
        <v>1000</v>
      </c>
      <c r="F193" s="325">
        <f t="shared" si="4"/>
        <v>1.7827155035636482</v>
      </c>
      <c r="G193" s="326">
        <v>560.94200000000001</v>
      </c>
      <c r="H193" s="182" t="s">
        <v>193</v>
      </c>
      <c r="I193" s="182" t="s">
        <v>2753</v>
      </c>
      <c r="J193" s="182" t="s">
        <v>98</v>
      </c>
      <c r="K193" s="438" t="s">
        <v>1902</v>
      </c>
      <c r="L193" s="182" t="s">
        <v>155</v>
      </c>
    </row>
    <row r="194" spans="1:15" s="433" customFormat="1">
      <c r="A194" s="505">
        <v>45887</v>
      </c>
      <c r="B194" s="182" t="s">
        <v>2718</v>
      </c>
      <c r="C194" s="182" t="s">
        <v>174</v>
      </c>
      <c r="D194" s="182" t="s">
        <v>117</v>
      </c>
      <c r="E194" s="435">
        <v>8000</v>
      </c>
      <c r="F194" s="325">
        <f t="shared" si="4"/>
        <v>14.261724028509185</v>
      </c>
      <c r="G194" s="326">
        <v>560.94200000000001</v>
      </c>
      <c r="H194" s="182" t="s">
        <v>193</v>
      </c>
      <c r="I194" s="182" t="s">
        <v>2754</v>
      </c>
      <c r="J194" s="182" t="s">
        <v>98</v>
      </c>
      <c r="K194" s="438" t="s">
        <v>1902</v>
      </c>
      <c r="L194" s="182" t="s">
        <v>155</v>
      </c>
    </row>
    <row r="195" spans="1:15" s="433" customFormat="1">
      <c r="A195" s="505">
        <v>45887</v>
      </c>
      <c r="B195" s="182" t="s">
        <v>2719</v>
      </c>
      <c r="C195" s="182" t="s">
        <v>174</v>
      </c>
      <c r="D195" s="182" t="s">
        <v>117</v>
      </c>
      <c r="E195" s="435">
        <v>1000</v>
      </c>
      <c r="F195" s="325">
        <f t="shared" si="4"/>
        <v>1.7827155035636482</v>
      </c>
      <c r="G195" s="326">
        <v>560.94200000000001</v>
      </c>
      <c r="H195" s="182" t="s">
        <v>193</v>
      </c>
      <c r="I195" s="182" t="s">
        <v>2753</v>
      </c>
      <c r="J195" s="182" t="s">
        <v>98</v>
      </c>
      <c r="K195" s="438" t="s">
        <v>1902</v>
      </c>
      <c r="L195" s="182" t="s">
        <v>155</v>
      </c>
    </row>
    <row r="196" spans="1:15" s="433" customFormat="1">
      <c r="A196" s="505">
        <v>45887</v>
      </c>
      <c r="B196" s="182" t="s">
        <v>2720</v>
      </c>
      <c r="C196" s="182" t="s">
        <v>152</v>
      </c>
      <c r="D196" s="182" t="s">
        <v>117</v>
      </c>
      <c r="E196" s="435">
        <v>10000</v>
      </c>
      <c r="F196" s="325">
        <f t="shared" ref="F196:F270" si="5">E196/G196</f>
        <v>17.827155035636483</v>
      </c>
      <c r="G196" s="326">
        <v>560.94200000000001</v>
      </c>
      <c r="H196" s="182" t="s">
        <v>193</v>
      </c>
      <c r="I196" s="182" t="s">
        <v>2755</v>
      </c>
      <c r="J196" s="182" t="s">
        <v>98</v>
      </c>
      <c r="K196" s="438" t="s">
        <v>1902</v>
      </c>
      <c r="L196" s="182" t="s">
        <v>155</v>
      </c>
    </row>
    <row r="197" spans="1:15" s="433" customFormat="1">
      <c r="A197" s="503">
        <v>45887</v>
      </c>
      <c r="B197" s="182" t="s">
        <v>2780</v>
      </c>
      <c r="C197" s="517" t="s">
        <v>196</v>
      </c>
      <c r="D197" s="517" t="s">
        <v>117</v>
      </c>
      <c r="E197" s="496">
        <v>500</v>
      </c>
      <c r="F197" s="325">
        <f t="shared" si="5"/>
        <v>0.89135775178182408</v>
      </c>
      <c r="G197" s="326">
        <v>560.94200000000001</v>
      </c>
      <c r="H197" s="517" t="s">
        <v>437</v>
      </c>
      <c r="I197" s="182" t="s">
        <v>2817</v>
      </c>
      <c r="J197" s="182" t="s">
        <v>98</v>
      </c>
      <c r="K197" s="438" t="s">
        <v>1902</v>
      </c>
      <c r="L197" s="182" t="s">
        <v>155</v>
      </c>
    </row>
    <row r="198" spans="1:15" s="433" customFormat="1">
      <c r="A198" s="503">
        <v>45887</v>
      </c>
      <c r="B198" s="182" t="s">
        <v>2781</v>
      </c>
      <c r="C198" s="517" t="s">
        <v>196</v>
      </c>
      <c r="D198" s="517" t="s">
        <v>117</v>
      </c>
      <c r="E198" s="496">
        <v>500</v>
      </c>
      <c r="F198" s="325">
        <f t="shared" si="5"/>
        <v>0.89135775178182408</v>
      </c>
      <c r="G198" s="326">
        <v>560.94200000000001</v>
      </c>
      <c r="H198" s="517" t="s">
        <v>437</v>
      </c>
      <c r="I198" s="182" t="s">
        <v>2817</v>
      </c>
      <c r="J198" s="182" t="s">
        <v>98</v>
      </c>
      <c r="K198" s="438" t="s">
        <v>1902</v>
      </c>
      <c r="L198" s="182" t="s">
        <v>155</v>
      </c>
    </row>
    <row r="199" spans="1:15" s="433" customFormat="1">
      <c r="A199" s="503">
        <v>45887</v>
      </c>
      <c r="B199" s="182" t="s">
        <v>2782</v>
      </c>
      <c r="C199" s="517" t="s">
        <v>152</v>
      </c>
      <c r="D199" s="517" t="s">
        <v>117</v>
      </c>
      <c r="E199" s="496">
        <v>10000</v>
      </c>
      <c r="F199" s="325">
        <f t="shared" si="5"/>
        <v>17.827155035636483</v>
      </c>
      <c r="G199" s="326">
        <v>560.94200000000001</v>
      </c>
      <c r="H199" s="517" t="s">
        <v>437</v>
      </c>
      <c r="I199" s="182" t="s">
        <v>2823</v>
      </c>
      <c r="J199" s="182" t="s">
        <v>98</v>
      </c>
      <c r="K199" s="438" t="s">
        <v>1902</v>
      </c>
      <c r="L199" s="182" t="s">
        <v>155</v>
      </c>
    </row>
    <row r="200" spans="1:15" s="433" customFormat="1">
      <c r="A200" s="505">
        <v>45887</v>
      </c>
      <c r="B200" s="182" t="s">
        <v>2782</v>
      </c>
      <c r="C200" s="517" t="s">
        <v>152</v>
      </c>
      <c r="D200" s="182" t="s">
        <v>120</v>
      </c>
      <c r="E200" s="496">
        <v>10000</v>
      </c>
      <c r="F200" s="325">
        <f t="shared" si="5"/>
        <v>17.827155035636483</v>
      </c>
      <c r="G200" s="326">
        <v>560.94200000000001</v>
      </c>
      <c r="H200" s="182" t="s">
        <v>213</v>
      </c>
      <c r="I200" s="182" t="s">
        <v>2861</v>
      </c>
      <c r="J200" s="182" t="s">
        <v>98</v>
      </c>
      <c r="K200" s="438" t="s">
        <v>1902</v>
      </c>
      <c r="L200" s="182" t="s">
        <v>155</v>
      </c>
    </row>
    <row r="201" spans="1:15" s="433" customFormat="1">
      <c r="A201" s="505">
        <v>45887</v>
      </c>
      <c r="B201" s="182" t="s">
        <v>2869</v>
      </c>
      <c r="C201" s="182" t="s">
        <v>152</v>
      </c>
      <c r="D201" s="182" t="s">
        <v>117</v>
      </c>
      <c r="E201" s="182">
        <v>10000</v>
      </c>
      <c r="F201" s="325">
        <f t="shared" si="5"/>
        <v>17.827155035636483</v>
      </c>
      <c r="G201" s="326">
        <v>560.94200000000001</v>
      </c>
      <c r="H201" s="182" t="s">
        <v>187</v>
      </c>
      <c r="I201" s="182" t="s">
        <v>2881</v>
      </c>
      <c r="J201" s="182" t="s">
        <v>98</v>
      </c>
      <c r="K201" s="438" t="s">
        <v>1902</v>
      </c>
      <c r="L201" s="182" t="s">
        <v>155</v>
      </c>
    </row>
    <row r="202" spans="1:15" s="433" customFormat="1">
      <c r="A202" s="535">
        <v>45888</v>
      </c>
      <c r="B202" s="517" t="s">
        <v>2099</v>
      </c>
      <c r="C202" s="308" t="s">
        <v>174</v>
      </c>
      <c r="D202" s="308" t="s">
        <v>119</v>
      </c>
      <c r="E202" s="517">
        <v>1000</v>
      </c>
      <c r="F202" s="325">
        <f t="shared" si="5"/>
        <v>1.7827155035636482</v>
      </c>
      <c r="G202" s="326">
        <v>560.94200000000001</v>
      </c>
      <c r="H202" s="524" t="s">
        <v>153</v>
      </c>
      <c r="I202" s="525" t="s">
        <v>2494</v>
      </c>
      <c r="J202" s="182" t="s">
        <v>98</v>
      </c>
      <c r="K202" s="438" t="s">
        <v>1902</v>
      </c>
      <c r="L202" s="182" t="s">
        <v>155</v>
      </c>
      <c r="M202" s="550"/>
      <c r="N202" s="550"/>
      <c r="O202" s="550"/>
    </row>
    <row r="203" spans="1:15" s="433" customFormat="1">
      <c r="A203" s="535">
        <v>45888</v>
      </c>
      <c r="B203" s="517" t="s">
        <v>2108</v>
      </c>
      <c r="C203" s="308" t="s">
        <v>174</v>
      </c>
      <c r="D203" s="308" t="s">
        <v>119</v>
      </c>
      <c r="E203" s="517">
        <v>1000</v>
      </c>
      <c r="F203" s="325">
        <f t="shared" si="5"/>
        <v>1.7827155035636482</v>
      </c>
      <c r="G203" s="326">
        <v>560.94200000000001</v>
      </c>
      <c r="H203" s="524" t="s">
        <v>153</v>
      </c>
      <c r="I203" s="525" t="s">
        <v>2494</v>
      </c>
      <c r="J203" s="182" t="s">
        <v>98</v>
      </c>
      <c r="K203" s="438" t="s">
        <v>1902</v>
      </c>
      <c r="L203" s="182" t="s">
        <v>155</v>
      </c>
      <c r="M203" s="550"/>
      <c r="N203" s="550"/>
      <c r="O203" s="550"/>
    </row>
    <row r="204" spans="1:15" s="433" customFormat="1">
      <c r="A204" s="535">
        <v>45888</v>
      </c>
      <c r="B204" s="517" t="s">
        <v>2109</v>
      </c>
      <c r="C204" s="308" t="s">
        <v>174</v>
      </c>
      <c r="D204" s="308" t="s">
        <v>119</v>
      </c>
      <c r="E204" s="517">
        <v>1000</v>
      </c>
      <c r="F204" s="325">
        <f t="shared" si="5"/>
        <v>1.7827155035636482</v>
      </c>
      <c r="G204" s="326">
        <v>560.94200000000001</v>
      </c>
      <c r="H204" s="524" t="s">
        <v>153</v>
      </c>
      <c r="I204" s="525" t="s">
        <v>2494</v>
      </c>
      <c r="J204" s="182" t="s">
        <v>98</v>
      </c>
      <c r="K204" s="438" t="s">
        <v>1902</v>
      </c>
      <c r="L204" s="182" t="s">
        <v>155</v>
      </c>
      <c r="M204" s="550"/>
      <c r="N204" s="550"/>
      <c r="O204" s="550"/>
    </row>
    <row r="205" spans="1:15" s="433" customFormat="1">
      <c r="A205" s="535">
        <v>45888</v>
      </c>
      <c r="B205" s="517" t="s">
        <v>2100</v>
      </c>
      <c r="C205" s="308" t="s">
        <v>174</v>
      </c>
      <c r="D205" s="308" t="s">
        <v>119</v>
      </c>
      <c r="E205" s="517">
        <v>1000</v>
      </c>
      <c r="F205" s="325">
        <f t="shared" si="5"/>
        <v>1.7827155035636482</v>
      </c>
      <c r="G205" s="326">
        <v>560.94200000000001</v>
      </c>
      <c r="H205" s="524" t="s">
        <v>153</v>
      </c>
      <c r="I205" s="525" t="s">
        <v>2494</v>
      </c>
      <c r="J205" s="182" t="s">
        <v>98</v>
      </c>
      <c r="K205" s="438" t="s">
        <v>1902</v>
      </c>
      <c r="L205" s="182" t="s">
        <v>155</v>
      </c>
      <c r="M205" s="550"/>
      <c r="N205" s="550"/>
      <c r="O205" s="550"/>
    </row>
    <row r="206" spans="1:15" s="433" customFormat="1">
      <c r="A206" s="504">
        <v>45888</v>
      </c>
      <c r="B206" s="182" t="s">
        <v>2518</v>
      </c>
      <c r="C206" s="182" t="s">
        <v>174</v>
      </c>
      <c r="D206" s="182" t="s">
        <v>118</v>
      </c>
      <c r="E206" s="435">
        <v>1000</v>
      </c>
      <c r="F206" s="325">
        <f t="shared" si="5"/>
        <v>1.7827155035636482</v>
      </c>
      <c r="G206" s="326">
        <v>560.94200000000001</v>
      </c>
      <c r="H206" s="182" t="s">
        <v>583</v>
      </c>
      <c r="I206" s="182" t="s">
        <v>2536</v>
      </c>
      <c r="J206" s="182" t="s">
        <v>98</v>
      </c>
      <c r="K206" s="438" t="s">
        <v>1902</v>
      </c>
      <c r="L206" s="182" t="s">
        <v>155</v>
      </c>
      <c r="M206" s="550"/>
      <c r="N206" s="550"/>
      <c r="O206" s="550"/>
    </row>
    <row r="207" spans="1:15" s="433" customFormat="1">
      <c r="A207" s="504">
        <v>45888</v>
      </c>
      <c r="B207" s="182" t="s">
        <v>2519</v>
      </c>
      <c r="C207" s="182" t="s">
        <v>174</v>
      </c>
      <c r="D207" s="182" t="s">
        <v>118</v>
      </c>
      <c r="E207" s="435">
        <v>1000</v>
      </c>
      <c r="F207" s="325">
        <f t="shared" si="5"/>
        <v>1.7827155035636482</v>
      </c>
      <c r="G207" s="326">
        <v>560.94200000000001</v>
      </c>
      <c r="H207" s="182" t="s">
        <v>583</v>
      </c>
      <c r="I207" s="182" t="s">
        <v>2536</v>
      </c>
      <c r="J207" s="182" t="s">
        <v>98</v>
      </c>
      <c r="K207" s="438" t="s">
        <v>1902</v>
      </c>
      <c r="L207" s="182" t="s">
        <v>155</v>
      </c>
      <c r="M207" s="550"/>
      <c r="N207" s="550"/>
      <c r="O207" s="550"/>
    </row>
    <row r="208" spans="1:15" s="433" customFormat="1">
      <c r="A208" s="504">
        <v>45888</v>
      </c>
      <c r="B208" s="182" t="s">
        <v>2520</v>
      </c>
      <c r="C208" s="182" t="s">
        <v>174</v>
      </c>
      <c r="D208" s="182" t="s">
        <v>118</v>
      </c>
      <c r="E208" s="435">
        <v>1000</v>
      </c>
      <c r="F208" s="325">
        <f t="shared" si="5"/>
        <v>1.7827155035636482</v>
      </c>
      <c r="G208" s="326">
        <v>560.94200000000001</v>
      </c>
      <c r="H208" s="182" t="s">
        <v>583</v>
      </c>
      <c r="I208" s="182" t="s">
        <v>2536</v>
      </c>
      <c r="J208" s="182" t="s">
        <v>98</v>
      </c>
      <c r="K208" s="438" t="s">
        <v>1902</v>
      </c>
      <c r="L208" s="182" t="s">
        <v>155</v>
      </c>
      <c r="M208" s="550"/>
      <c r="N208" s="550"/>
      <c r="O208" s="550"/>
    </row>
    <row r="209" spans="1:15" s="433" customFormat="1">
      <c r="A209" s="504">
        <v>45888</v>
      </c>
      <c r="B209" s="182" t="s">
        <v>2521</v>
      </c>
      <c r="C209" s="182" t="s">
        <v>174</v>
      </c>
      <c r="D209" s="182" t="s">
        <v>118</v>
      </c>
      <c r="E209" s="435">
        <v>1000</v>
      </c>
      <c r="F209" s="325">
        <f t="shared" si="5"/>
        <v>1.7827155035636482</v>
      </c>
      <c r="G209" s="326">
        <v>560.94200000000001</v>
      </c>
      <c r="H209" s="182" t="s">
        <v>583</v>
      </c>
      <c r="I209" s="182" t="s">
        <v>2536</v>
      </c>
      <c r="J209" s="182" t="s">
        <v>98</v>
      </c>
      <c r="K209" s="438" t="s">
        <v>1902</v>
      </c>
      <c r="L209" s="182" t="s">
        <v>155</v>
      </c>
      <c r="M209" s="550"/>
      <c r="N209" s="550"/>
      <c r="O209" s="550"/>
    </row>
    <row r="210" spans="1:15" s="433" customFormat="1">
      <c r="A210" s="504">
        <v>45888</v>
      </c>
      <c r="B210" s="182" t="s">
        <v>2522</v>
      </c>
      <c r="C210" s="182" t="s">
        <v>174</v>
      </c>
      <c r="D210" s="182" t="s">
        <v>118</v>
      </c>
      <c r="E210" s="435">
        <v>1000</v>
      </c>
      <c r="F210" s="325">
        <f t="shared" si="5"/>
        <v>1.7827155035636482</v>
      </c>
      <c r="G210" s="326">
        <v>560.94200000000001</v>
      </c>
      <c r="H210" s="182" t="s">
        <v>583</v>
      </c>
      <c r="I210" s="182" t="s">
        <v>2536</v>
      </c>
      <c r="J210" s="182" t="s">
        <v>98</v>
      </c>
      <c r="K210" s="438" t="s">
        <v>1902</v>
      </c>
      <c r="L210" s="182" t="s">
        <v>155</v>
      </c>
      <c r="M210" s="550"/>
      <c r="N210" s="550"/>
      <c r="O210" s="550"/>
    </row>
    <row r="211" spans="1:15" s="433" customFormat="1">
      <c r="A211" s="506">
        <v>45888</v>
      </c>
      <c r="B211" s="182" t="s">
        <v>2382</v>
      </c>
      <c r="C211" s="182" t="s">
        <v>127</v>
      </c>
      <c r="D211" s="182" t="s">
        <v>117</v>
      </c>
      <c r="E211" s="435">
        <v>10500</v>
      </c>
      <c r="F211" s="325">
        <f t="shared" si="5"/>
        <v>18.718512787418305</v>
      </c>
      <c r="G211" s="326">
        <v>560.94200000000001</v>
      </c>
      <c r="H211" s="182" t="s">
        <v>583</v>
      </c>
      <c r="I211" s="182" t="s">
        <v>2383</v>
      </c>
      <c r="J211" s="182" t="s">
        <v>98</v>
      </c>
      <c r="K211" s="438" t="s">
        <v>1902</v>
      </c>
      <c r="L211" s="182" t="s">
        <v>155</v>
      </c>
      <c r="M211" s="550"/>
      <c r="N211" s="550"/>
      <c r="O211" s="550"/>
    </row>
    <row r="212" spans="1:15" s="548" customFormat="1">
      <c r="A212" s="506">
        <v>45888</v>
      </c>
      <c r="B212" s="182" t="s">
        <v>2944</v>
      </c>
      <c r="C212" s="182" t="s">
        <v>172</v>
      </c>
      <c r="D212" s="182" t="s">
        <v>118</v>
      </c>
      <c r="E212" s="435">
        <v>11000</v>
      </c>
      <c r="F212" s="325">
        <f t="shared" si="5"/>
        <v>19.609870539200131</v>
      </c>
      <c r="G212" s="326">
        <v>560.94200000000001</v>
      </c>
      <c r="H212" s="520" t="s">
        <v>583</v>
      </c>
      <c r="I212" s="182" t="s">
        <v>2385</v>
      </c>
      <c r="J212" s="182" t="s">
        <v>98</v>
      </c>
      <c r="K212" s="438" t="s">
        <v>1902</v>
      </c>
      <c r="L212" s="182" t="s">
        <v>155</v>
      </c>
      <c r="M212" s="550"/>
      <c r="N212" s="550"/>
      <c r="O212" s="550"/>
    </row>
    <row r="213" spans="1:15" s="548" customFormat="1">
      <c r="A213" s="506">
        <v>45888</v>
      </c>
      <c r="B213" s="182" t="s">
        <v>2945</v>
      </c>
      <c r="C213" s="182" t="s">
        <v>172</v>
      </c>
      <c r="D213" s="182" t="s">
        <v>118</v>
      </c>
      <c r="E213" s="435">
        <v>5000</v>
      </c>
      <c r="F213" s="325">
        <f t="shared" si="5"/>
        <v>8.9135775178182417</v>
      </c>
      <c r="G213" s="326">
        <v>560.94200000000001</v>
      </c>
      <c r="H213" s="520" t="s">
        <v>583</v>
      </c>
      <c r="I213" s="182" t="s">
        <v>2385</v>
      </c>
      <c r="J213" s="182" t="s">
        <v>98</v>
      </c>
      <c r="K213" s="438" t="s">
        <v>1902</v>
      </c>
      <c r="L213" s="182" t="s">
        <v>155</v>
      </c>
      <c r="M213" s="550"/>
      <c r="N213" s="550"/>
      <c r="O213" s="550"/>
    </row>
    <row r="214" spans="1:15" s="548" customFormat="1">
      <c r="A214" s="506">
        <v>45888</v>
      </c>
      <c r="B214" s="182" t="s">
        <v>2954</v>
      </c>
      <c r="C214" s="182" t="s">
        <v>172</v>
      </c>
      <c r="D214" s="182" t="s">
        <v>118</v>
      </c>
      <c r="E214" s="435">
        <v>11700</v>
      </c>
      <c r="F214" s="325">
        <f t="shared" si="5"/>
        <v>20.857771391694683</v>
      </c>
      <c r="G214" s="326">
        <v>560.94200000000001</v>
      </c>
      <c r="H214" s="520" t="s">
        <v>583</v>
      </c>
      <c r="I214" s="182" t="s">
        <v>2385</v>
      </c>
      <c r="J214" s="182" t="s">
        <v>98</v>
      </c>
      <c r="K214" s="438" t="s">
        <v>1902</v>
      </c>
      <c r="L214" s="182" t="s">
        <v>155</v>
      </c>
      <c r="M214" s="550"/>
      <c r="N214" s="550"/>
      <c r="O214" s="550"/>
    </row>
    <row r="215" spans="1:15" s="548" customFormat="1">
      <c r="A215" s="506">
        <v>45888</v>
      </c>
      <c r="B215" s="182" t="s">
        <v>2946</v>
      </c>
      <c r="C215" s="182" t="s">
        <v>172</v>
      </c>
      <c r="D215" s="182" t="s">
        <v>118</v>
      </c>
      <c r="E215" s="435">
        <v>2500</v>
      </c>
      <c r="F215" s="325">
        <f t="shared" si="5"/>
        <v>4.4567887589091209</v>
      </c>
      <c r="G215" s="326">
        <v>560.94200000000001</v>
      </c>
      <c r="H215" s="520" t="s">
        <v>583</v>
      </c>
      <c r="I215" s="182" t="s">
        <v>2385</v>
      </c>
      <c r="J215" s="182" t="s">
        <v>98</v>
      </c>
      <c r="K215" s="438" t="s">
        <v>1902</v>
      </c>
      <c r="L215" s="182" t="s">
        <v>155</v>
      </c>
      <c r="M215" s="550"/>
      <c r="N215" s="550"/>
      <c r="O215" s="550"/>
    </row>
    <row r="216" spans="1:15" s="548" customFormat="1">
      <c r="A216" s="506">
        <v>45888</v>
      </c>
      <c r="B216" s="182" t="s">
        <v>2947</v>
      </c>
      <c r="C216" s="182" t="s">
        <v>172</v>
      </c>
      <c r="D216" s="182" t="s">
        <v>118</v>
      </c>
      <c r="E216" s="435">
        <v>3500</v>
      </c>
      <c r="F216" s="325">
        <f t="shared" si="5"/>
        <v>6.239504262472769</v>
      </c>
      <c r="G216" s="326">
        <v>560.94200000000001</v>
      </c>
      <c r="H216" s="520" t="s">
        <v>583</v>
      </c>
      <c r="I216" s="182" t="s">
        <v>2385</v>
      </c>
      <c r="J216" s="182" t="s">
        <v>98</v>
      </c>
      <c r="K216" s="438" t="s">
        <v>1902</v>
      </c>
      <c r="L216" s="182" t="s">
        <v>155</v>
      </c>
      <c r="M216" s="550"/>
      <c r="N216" s="550"/>
      <c r="O216" s="550"/>
    </row>
    <row r="217" spans="1:15" s="548" customFormat="1">
      <c r="A217" s="506">
        <v>45888</v>
      </c>
      <c r="B217" s="182" t="s">
        <v>2948</v>
      </c>
      <c r="C217" s="182" t="s">
        <v>172</v>
      </c>
      <c r="D217" s="182" t="s">
        <v>118</v>
      </c>
      <c r="E217" s="435">
        <v>2750</v>
      </c>
      <c r="F217" s="325">
        <f t="shared" si="5"/>
        <v>4.9024676348000327</v>
      </c>
      <c r="G217" s="326">
        <v>560.94200000000001</v>
      </c>
      <c r="H217" s="520" t="s">
        <v>583</v>
      </c>
      <c r="I217" s="182" t="s">
        <v>2385</v>
      </c>
      <c r="J217" s="182" t="s">
        <v>98</v>
      </c>
      <c r="K217" s="438" t="s">
        <v>1902</v>
      </c>
      <c r="L217" s="182" t="s">
        <v>155</v>
      </c>
      <c r="M217" s="550"/>
      <c r="N217" s="550"/>
      <c r="O217" s="550"/>
    </row>
    <row r="218" spans="1:15" s="548" customFormat="1">
      <c r="A218" s="506">
        <v>45888</v>
      </c>
      <c r="B218" s="182" t="s">
        <v>2949</v>
      </c>
      <c r="C218" s="182" t="s">
        <v>172</v>
      </c>
      <c r="D218" s="182" t="s">
        <v>118</v>
      </c>
      <c r="E218" s="435">
        <v>3500</v>
      </c>
      <c r="F218" s="325">
        <f t="shared" si="5"/>
        <v>6.239504262472769</v>
      </c>
      <c r="G218" s="326">
        <v>560.94200000000001</v>
      </c>
      <c r="H218" s="520" t="s">
        <v>583</v>
      </c>
      <c r="I218" s="182" t="s">
        <v>2385</v>
      </c>
      <c r="J218" s="182" t="s">
        <v>98</v>
      </c>
      <c r="K218" s="438" t="s">
        <v>1902</v>
      </c>
      <c r="L218" s="182" t="s">
        <v>155</v>
      </c>
      <c r="M218" s="550"/>
      <c r="N218" s="550"/>
      <c r="O218" s="550"/>
    </row>
    <row r="219" spans="1:15" s="548" customFormat="1">
      <c r="A219" s="506">
        <v>45888</v>
      </c>
      <c r="B219" s="182" t="s">
        <v>2950</v>
      </c>
      <c r="C219" s="182" t="s">
        <v>172</v>
      </c>
      <c r="D219" s="182" t="s">
        <v>118</v>
      </c>
      <c r="E219" s="435">
        <v>1500</v>
      </c>
      <c r="F219" s="325">
        <f t="shared" si="5"/>
        <v>2.6740732553454722</v>
      </c>
      <c r="G219" s="326">
        <v>560.94200000000001</v>
      </c>
      <c r="H219" s="520" t="s">
        <v>583</v>
      </c>
      <c r="I219" s="182" t="s">
        <v>2385</v>
      </c>
      <c r="J219" s="182" t="s">
        <v>98</v>
      </c>
      <c r="K219" s="438" t="s">
        <v>1902</v>
      </c>
      <c r="L219" s="182" t="s">
        <v>155</v>
      </c>
      <c r="M219" s="550"/>
      <c r="N219" s="550"/>
      <c r="O219" s="550"/>
    </row>
    <row r="220" spans="1:15" s="548" customFormat="1">
      <c r="A220" s="506">
        <v>45888</v>
      </c>
      <c r="B220" s="182" t="s">
        <v>2951</v>
      </c>
      <c r="C220" s="182" t="s">
        <v>172</v>
      </c>
      <c r="D220" s="182" t="s">
        <v>118</v>
      </c>
      <c r="E220" s="435">
        <v>1900</v>
      </c>
      <c r="F220" s="325">
        <f t="shared" si="5"/>
        <v>3.3871594567709318</v>
      </c>
      <c r="G220" s="326">
        <v>560.94200000000001</v>
      </c>
      <c r="H220" s="520" t="s">
        <v>583</v>
      </c>
      <c r="I220" s="182" t="s">
        <v>2385</v>
      </c>
      <c r="J220" s="182" t="s">
        <v>98</v>
      </c>
      <c r="K220" s="438" t="s">
        <v>1902</v>
      </c>
      <c r="L220" s="182" t="s">
        <v>155</v>
      </c>
      <c r="M220" s="550"/>
      <c r="N220" s="550"/>
      <c r="O220" s="550"/>
    </row>
    <row r="221" spans="1:15" s="548" customFormat="1">
      <c r="A221" s="506">
        <v>45888</v>
      </c>
      <c r="B221" s="182" t="s">
        <v>2952</v>
      </c>
      <c r="C221" s="182" t="s">
        <v>172</v>
      </c>
      <c r="D221" s="182" t="s">
        <v>118</v>
      </c>
      <c r="E221" s="435">
        <v>3700</v>
      </c>
      <c r="F221" s="325">
        <f t="shared" si="5"/>
        <v>6.596047363185499</v>
      </c>
      <c r="G221" s="326">
        <v>560.94200000000001</v>
      </c>
      <c r="H221" s="520" t="s">
        <v>583</v>
      </c>
      <c r="I221" s="182" t="s">
        <v>2385</v>
      </c>
      <c r="J221" s="182" t="s">
        <v>98</v>
      </c>
      <c r="K221" s="438" t="s">
        <v>1902</v>
      </c>
      <c r="L221" s="182" t="s">
        <v>155</v>
      </c>
      <c r="M221" s="550"/>
      <c r="N221" s="550"/>
      <c r="O221" s="550"/>
    </row>
    <row r="222" spans="1:15" s="548" customFormat="1">
      <c r="A222" s="506">
        <v>45888</v>
      </c>
      <c r="B222" s="182" t="s">
        <v>2953</v>
      </c>
      <c r="C222" s="182" t="s">
        <v>172</v>
      </c>
      <c r="D222" s="182" t="s">
        <v>118</v>
      </c>
      <c r="E222" s="435">
        <v>3500</v>
      </c>
      <c r="F222" s="325">
        <f t="shared" si="5"/>
        <v>6.239504262472769</v>
      </c>
      <c r="G222" s="326">
        <v>560.94200000000001</v>
      </c>
      <c r="H222" s="520" t="s">
        <v>583</v>
      </c>
      <c r="I222" s="182" t="s">
        <v>2385</v>
      </c>
      <c r="J222" s="182" t="s">
        <v>98</v>
      </c>
      <c r="K222" s="438" t="s">
        <v>1902</v>
      </c>
      <c r="L222" s="182" t="s">
        <v>155</v>
      </c>
      <c r="M222" s="550"/>
      <c r="N222" s="550"/>
      <c r="O222" s="550"/>
    </row>
    <row r="223" spans="1:15" s="548" customFormat="1">
      <c r="A223" s="506">
        <v>45888</v>
      </c>
      <c r="B223" s="182" t="s">
        <v>2955</v>
      </c>
      <c r="C223" s="182" t="s">
        <v>172</v>
      </c>
      <c r="D223" s="182" t="s">
        <v>118</v>
      </c>
      <c r="E223" s="435">
        <v>2000</v>
      </c>
      <c r="F223" s="325">
        <f t="shared" si="5"/>
        <v>3.5654310071272963</v>
      </c>
      <c r="G223" s="326">
        <v>560.94200000000001</v>
      </c>
      <c r="H223" s="520" t="s">
        <v>583</v>
      </c>
      <c r="I223" s="182" t="s">
        <v>2385</v>
      </c>
      <c r="J223" s="182" t="s">
        <v>98</v>
      </c>
      <c r="K223" s="438" t="s">
        <v>1902</v>
      </c>
      <c r="L223" s="182" t="s">
        <v>155</v>
      </c>
      <c r="M223" s="550"/>
      <c r="N223" s="550"/>
      <c r="O223" s="550"/>
    </row>
    <row r="224" spans="1:15" s="433" customFormat="1">
      <c r="A224" s="467">
        <v>45888</v>
      </c>
      <c r="B224" s="177" t="s">
        <v>3039</v>
      </c>
      <c r="C224" s="177" t="s">
        <v>174</v>
      </c>
      <c r="D224" s="177" t="s">
        <v>121</v>
      </c>
      <c r="E224" s="177">
        <v>1000</v>
      </c>
      <c r="F224" s="325">
        <f t="shared" si="5"/>
        <v>1.7827155035636482</v>
      </c>
      <c r="G224" s="326">
        <v>560.94200000000001</v>
      </c>
      <c r="H224" s="177" t="s">
        <v>184</v>
      </c>
      <c r="I224" s="177" t="s">
        <v>2558</v>
      </c>
      <c r="J224" s="182" t="s">
        <v>98</v>
      </c>
      <c r="K224" s="438" t="s">
        <v>1902</v>
      </c>
      <c r="L224" s="182" t="s">
        <v>155</v>
      </c>
    </row>
    <row r="225" spans="1:15" s="433" customFormat="1">
      <c r="A225" s="467">
        <v>45888</v>
      </c>
      <c r="B225" s="177" t="s">
        <v>3039</v>
      </c>
      <c r="C225" s="177" t="s">
        <v>174</v>
      </c>
      <c r="D225" s="177" t="s">
        <v>121</v>
      </c>
      <c r="E225" s="177">
        <v>1000</v>
      </c>
      <c r="F225" s="325">
        <f t="shared" si="5"/>
        <v>1.7827155035636482</v>
      </c>
      <c r="G225" s="326">
        <v>560.94200000000001</v>
      </c>
      <c r="H225" s="177" t="s">
        <v>184</v>
      </c>
      <c r="I225" s="177" t="s">
        <v>2558</v>
      </c>
      <c r="J225" s="182" t="s">
        <v>98</v>
      </c>
      <c r="K225" s="438" t="s">
        <v>1902</v>
      </c>
      <c r="L225" s="182" t="s">
        <v>155</v>
      </c>
    </row>
    <row r="226" spans="1:15" s="433" customFormat="1">
      <c r="A226" s="467">
        <v>45888</v>
      </c>
      <c r="B226" s="177" t="s">
        <v>3037</v>
      </c>
      <c r="C226" s="177" t="s">
        <v>174</v>
      </c>
      <c r="D226" s="177" t="s">
        <v>121</v>
      </c>
      <c r="E226" s="177">
        <v>500</v>
      </c>
      <c r="F226" s="325">
        <f t="shared" si="5"/>
        <v>0.89135775178182408</v>
      </c>
      <c r="G226" s="326">
        <v>560.94200000000001</v>
      </c>
      <c r="H226" s="177" t="s">
        <v>184</v>
      </c>
      <c r="I226" s="177" t="s">
        <v>2558</v>
      </c>
      <c r="J226" s="182" t="s">
        <v>98</v>
      </c>
      <c r="K226" s="438" t="s">
        <v>1902</v>
      </c>
      <c r="L226" s="182" t="s">
        <v>155</v>
      </c>
    </row>
    <row r="227" spans="1:15" s="433" customFormat="1">
      <c r="A227" s="467">
        <v>45888</v>
      </c>
      <c r="B227" s="177" t="s">
        <v>3041</v>
      </c>
      <c r="C227" s="177" t="s">
        <v>174</v>
      </c>
      <c r="D227" s="177" t="s">
        <v>121</v>
      </c>
      <c r="E227" s="177">
        <v>1000</v>
      </c>
      <c r="F227" s="325">
        <f t="shared" si="5"/>
        <v>1.7827155035636482</v>
      </c>
      <c r="G227" s="326">
        <v>560.94200000000001</v>
      </c>
      <c r="H227" s="177" t="s">
        <v>184</v>
      </c>
      <c r="I227" s="177" t="s">
        <v>2558</v>
      </c>
      <c r="J227" s="182" t="s">
        <v>98</v>
      </c>
      <c r="K227" s="438" t="s">
        <v>1902</v>
      </c>
      <c r="L227" s="182" t="s">
        <v>155</v>
      </c>
    </row>
    <row r="228" spans="1:15" s="433" customFormat="1">
      <c r="A228" s="467">
        <v>45888</v>
      </c>
      <c r="B228" s="177" t="s">
        <v>3041</v>
      </c>
      <c r="C228" s="177" t="s">
        <v>174</v>
      </c>
      <c r="D228" s="177" t="s">
        <v>121</v>
      </c>
      <c r="E228" s="177">
        <v>1000</v>
      </c>
      <c r="F228" s="325">
        <f t="shared" si="5"/>
        <v>1.7827155035636482</v>
      </c>
      <c r="G228" s="326">
        <v>560.94200000000001</v>
      </c>
      <c r="H228" s="177" t="s">
        <v>184</v>
      </c>
      <c r="I228" s="177" t="s">
        <v>2558</v>
      </c>
      <c r="J228" s="182" t="s">
        <v>98</v>
      </c>
      <c r="K228" s="438" t="s">
        <v>1902</v>
      </c>
      <c r="L228" s="182" t="s">
        <v>155</v>
      </c>
    </row>
    <row r="229" spans="1:15" s="433" customFormat="1">
      <c r="A229" s="467">
        <v>45888</v>
      </c>
      <c r="B229" s="177" t="s">
        <v>3042</v>
      </c>
      <c r="C229" s="177" t="s">
        <v>174</v>
      </c>
      <c r="D229" s="177" t="s">
        <v>121</v>
      </c>
      <c r="E229" s="177">
        <v>500</v>
      </c>
      <c r="F229" s="325">
        <f t="shared" si="5"/>
        <v>0.89135775178182408</v>
      </c>
      <c r="G229" s="326">
        <v>560.94200000000001</v>
      </c>
      <c r="H229" s="177" t="s">
        <v>184</v>
      </c>
      <c r="I229" s="177" t="s">
        <v>2558</v>
      </c>
      <c r="J229" s="182" t="s">
        <v>98</v>
      </c>
      <c r="K229" s="438" t="s">
        <v>1902</v>
      </c>
      <c r="L229" s="182" t="s">
        <v>155</v>
      </c>
    </row>
    <row r="230" spans="1:15" s="433" customFormat="1">
      <c r="A230" s="505">
        <v>45888</v>
      </c>
      <c r="B230" s="182" t="s">
        <v>3002</v>
      </c>
      <c r="C230" s="182" t="s">
        <v>174</v>
      </c>
      <c r="D230" s="177" t="s">
        <v>121</v>
      </c>
      <c r="E230" s="182">
        <v>500</v>
      </c>
      <c r="F230" s="325">
        <f t="shared" si="5"/>
        <v>0.89135775178182408</v>
      </c>
      <c r="G230" s="326">
        <v>560.94200000000001</v>
      </c>
      <c r="H230" s="182" t="s">
        <v>175</v>
      </c>
      <c r="I230" s="182" t="s">
        <v>2588</v>
      </c>
      <c r="J230" s="182" t="s">
        <v>98</v>
      </c>
      <c r="K230" s="438" t="s">
        <v>1902</v>
      </c>
      <c r="L230" s="182" t="s">
        <v>155</v>
      </c>
    </row>
    <row r="231" spans="1:15" s="433" customFormat="1">
      <c r="A231" s="505">
        <v>45888</v>
      </c>
      <c r="B231" s="182" t="s">
        <v>2993</v>
      </c>
      <c r="C231" s="182" t="s">
        <v>174</v>
      </c>
      <c r="D231" s="177" t="s">
        <v>121</v>
      </c>
      <c r="E231" s="182">
        <v>10000</v>
      </c>
      <c r="F231" s="325">
        <f t="shared" si="5"/>
        <v>17.827155035636483</v>
      </c>
      <c r="G231" s="326">
        <v>560.94200000000001</v>
      </c>
      <c r="H231" s="182" t="s">
        <v>175</v>
      </c>
      <c r="I231" s="182" t="s">
        <v>2599</v>
      </c>
      <c r="J231" s="182" t="s">
        <v>98</v>
      </c>
      <c r="K231" s="438" t="s">
        <v>1902</v>
      </c>
      <c r="L231" s="182" t="s">
        <v>155</v>
      </c>
    </row>
    <row r="232" spans="1:15" s="433" customFormat="1">
      <c r="A232" s="505">
        <v>45888</v>
      </c>
      <c r="B232" s="182" t="s">
        <v>3003</v>
      </c>
      <c r="C232" s="182" t="s">
        <v>174</v>
      </c>
      <c r="D232" s="177" t="s">
        <v>121</v>
      </c>
      <c r="E232" s="182">
        <v>500</v>
      </c>
      <c r="F232" s="325">
        <f t="shared" si="5"/>
        <v>0.89135775178182408</v>
      </c>
      <c r="G232" s="326">
        <v>560.94200000000001</v>
      </c>
      <c r="H232" s="182" t="s">
        <v>175</v>
      </c>
      <c r="I232" s="182" t="s">
        <v>2588</v>
      </c>
      <c r="J232" s="182" t="s">
        <v>98</v>
      </c>
      <c r="K232" s="438" t="s">
        <v>1902</v>
      </c>
      <c r="L232" s="182" t="s">
        <v>155</v>
      </c>
    </row>
    <row r="233" spans="1:15" s="433" customFormat="1">
      <c r="A233" s="505">
        <v>45888</v>
      </c>
      <c r="B233" s="182" t="s">
        <v>3004</v>
      </c>
      <c r="C233" s="182" t="s">
        <v>174</v>
      </c>
      <c r="D233" s="177" t="s">
        <v>121</v>
      </c>
      <c r="E233" s="182">
        <v>500</v>
      </c>
      <c r="F233" s="325">
        <f t="shared" si="5"/>
        <v>0.89135775178182408</v>
      </c>
      <c r="G233" s="326">
        <v>560.94200000000001</v>
      </c>
      <c r="H233" s="182" t="s">
        <v>175</v>
      </c>
      <c r="I233" s="182" t="s">
        <v>2588</v>
      </c>
      <c r="J233" s="182" t="s">
        <v>98</v>
      </c>
      <c r="K233" s="438" t="s">
        <v>1902</v>
      </c>
      <c r="L233" s="182" t="s">
        <v>155</v>
      </c>
    </row>
    <row r="234" spans="1:15" s="546" customFormat="1">
      <c r="A234" s="505">
        <v>45888</v>
      </c>
      <c r="B234" s="182" t="s">
        <v>3005</v>
      </c>
      <c r="C234" s="182" t="s">
        <v>174</v>
      </c>
      <c r="D234" s="177" t="s">
        <v>121</v>
      </c>
      <c r="E234" s="182">
        <v>500</v>
      </c>
      <c r="F234" s="325">
        <f t="shared" si="5"/>
        <v>0.89135775178182408</v>
      </c>
      <c r="G234" s="326">
        <v>560.94200000000001</v>
      </c>
      <c r="H234" s="182" t="s">
        <v>175</v>
      </c>
      <c r="I234" s="182" t="s">
        <v>2588</v>
      </c>
      <c r="J234" s="182" t="s">
        <v>98</v>
      </c>
      <c r="K234" s="438" t="s">
        <v>1902</v>
      </c>
      <c r="L234" s="182" t="s">
        <v>155</v>
      </c>
      <c r="M234" s="433"/>
      <c r="N234" s="433"/>
      <c r="O234" s="433"/>
    </row>
    <row r="235" spans="1:15" s="433" customFormat="1">
      <c r="A235" s="505">
        <v>45888</v>
      </c>
      <c r="B235" s="182" t="s">
        <v>2993</v>
      </c>
      <c r="C235" s="182" t="s">
        <v>174</v>
      </c>
      <c r="D235" s="177" t="s">
        <v>121</v>
      </c>
      <c r="E235" s="182">
        <v>10000</v>
      </c>
      <c r="F235" s="325">
        <f t="shared" si="5"/>
        <v>17.827155035636483</v>
      </c>
      <c r="G235" s="326">
        <v>560.94200000000001</v>
      </c>
      <c r="H235" s="182" t="s">
        <v>175</v>
      </c>
      <c r="I235" s="182" t="s">
        <v>2600</v>
      </c>
      <c r="J235" s="182" t="s">
        <v>98</v>
      </c>
      <c r="K235" s="438" t="s">
        <v>1902</v>
      </c>
      <c r="L235" s="182" t="s">
        <v>155</v>
      </c>
    </row>
    <row r="236" spans="1:15" s="433" customFormat="1">
      <c r="A236" s="505">
        <v>45888</v>
      </c>
      <c r="B236" s="182" t="s">
        <v>3006</v>
      </c>
      <c r="C236" s="182" t="s">
        <v>174</v>
      </c>
      <c r="D236" s="177" t="s">
        <v>121</v>
      </c>
      <c r="E236" s="182">
        <v>500</v>
      </c>
      <c r="F236" s="325">
        <f t="shared" si="5"/>
        <v>0.89135775178182408</v>
      </c>
      <c r="G236" s="326">
        <v>560.94200000000001</v>
      </c>
      <c r="H236" s="182" t="s">
        <v>175</v>
      </c>
      <c r="I236" s="182" t="s">
        <v>2588</v>
      </c>
      <c r="J236" s="182" t="s">
        <v>98</v>
      </c>
      <c r="K236" s="438" t="s">
        <v>1902</v>
      </c>
      <c r="L236" s="182" t="s">
        <v>155</v>
      </c>
    </row>
    <row r="237" spans="1:15" s="433" customFormat="1">
      <c r="A237" s="505">
        <v>45888</v>
      </c>
      <c r="B237" s="182" t="s">
        <v>3065</v>
      </c>
      <c r="C237" s="182" t="s">
        <v>177</v>
      </c>
      <c r="D237" s="182" t="s">
        <v>121</v>
      </c>
      <c r="E237" s="182">
        <v>50000</v>
      </c>
      <c r="F237" s="325">
        <f t="shared" si="5"/>
        <v>89.135775178182413</v>
      </c>
      <c r="G237" s="326">
        <v>560.94200000000001</v>
      </c>
      <c r="H237" s="182" t="s">
        <v>317</v>
      </c>
      <c r="I237" s="182" t="s">
        <v>2637</v>
      </c>
      <c r="J237" s="182" t="s">
        <v>98</v>
      </c>
      <c r="K237" s="438" t="s">
        <v>1902</v>
      </c>
      <c r="L237" s="182" t="s">
        <v>155</v>
      </c>
    </row>
    <row r="238" spans="1:15" s="433" customFormat="1">
      <c r="A238" s="505">
        <v>45888</v>
      </c>
      <c r="B238" s="182" t="s">
        <v>3072</v>
      </c>
      <c r="C238" s="182" t="s">
        <v>174</v>
      </c>
      <c r="D238" s="182" t="s">
        <v>121</v>
      </c>
      <c r="E238" s="182">
        <v>2000</v>
      </c>
      <c r="F238" s="325">
        <f t="shared" si="5"/>
        <v>3.5654310071272963</v>
      </c>
      <c r="G238" s="326">
        <v>560.94200000000001</v>
      </c>
      <c r="H238" s="182" t="s">
        <v>317</v>
      </c>
      <c r="I238" s="182" t="s">
        <v>2632</v>
      </c>
      <c r="J238" s="182" t="s">
        <v>98</v>
      </c>
      <c r="K238" s="438" t="s">
        <v>1902</v>
      </c>
      <c r="L238" s="182" t="s">
        <v>155</v>
      </c>
    </row>
    <row r="239" spans="1:15" s="433" customFormat="1">
      <c r="A239" s="505">
        <v>45888</v>
      </c>
      <c r="B239" s="182" t="s">
        <v>3073</v>
      </c>
      <c r="C239" s="182" t="s">
        <v>174</v>
      </c>
      <c r="D239" s="182" t="s">
        <v>121</v>
      </c>
      <c r="E239" s="182">
        <v>500</v>
      </c>
      <c r="F239" s="325">
        <f t="shared" si="5"/>
        <v>0.89135775178182408</v>
      </c>
      <c r="G239" s="326">
        <v>560.94200000000001</v>
      </c>
      <c r="H239" s="182" t="s">
        <v>317</v>
      </c>
      <c r="I239" s="182" t="s">
        <v>2632</v>
      </c>
      <c r="J239" s="182" t="s">
        <v>98</v>
      </c>
      <c r="K239" s="438" t="s">
        <v>1902</v>
      </c>
      <c r="L239" s="182" t="s">
        <v>155</v>
      </c>
    </row>
    <row r="240" spans="1:15" s="433" customFormat="1">
      <c r="A240" s="505">
        <v>45888</v>
      </c>
      <c r="B240" s="182" t="s">
        <v>3066</v>
      </c>
      <c r="C240" s="182" t="s">
        <v>174</v>
      </c>
      <c r="D240" s="182" t="s">
        <v>121</v>
      </c>
      <c r="E240" s="182">
        <v>4000</v>
      </c>
      <c r="F240" s="325">
        <f t="shared" si="5"/>
        <v>7.1308620142545927</v>
      </c>
      <c r="G240" s="326">
        <v>560.94200000000001</v>
      </c>
      <c r="H240" s="182" t="s">
        <v>317</v>
      </c>
      <c r="I240" s="182" t="s">
        <v>2638</v>
      </c>
      <c r="J240" s="182" t="s">
        <v>98</v>
      </c>
      <c r="K240" s="438" t="s">
        <v>1902</v>
      </c>
      <c r="L240" s="182" t="s">
        <v>155</v>
      </c>
    </row>
    <row r="241" spans="1:12" s="433" customFormat="1">
      <c r="A241" s="505">
        <v>45888</v>
      </c>
      <c r="B241" s="182" t="s">
        <v>2997</v>
      </c>
      <c r="C241" s="182" t="s">
        <v>174</v>
      </c>
      <c r="D241" s="182" t="s">
        <v>121</v>
      </c>
      <c r="E241" s="182">
        <v>500</v>
      </c>
      <c r="F241" s="325">
        <f t="shared" si="5"/>
        <v>0.89135775178182408</v>
      </c>
      <c r="G241" s="326">
        <v>560.94200000000001</v>
      </c>
      <c r="H241" s="182" t="s">
        <v>317</v>
      </c>
      <c r="I241" s="182" t="s">
        <v>2632</v>
      </c>
      <c r="J241" s="182" t="s">
        <v>98</v>
      </c>
      <c r="K241" s="438" t="s">
        <v>1902</v>
      </c>
      <c r="L241" s="182" t="s">
        <v>155</v>
      </c>
    </row>
    <row r="242" spans="1:12" s="433" customFormat="1">
      <c r="A242" s="505">
        <v>45888</v>
      </c>
      <c r="B242" s="182" t="s">
        <v>3047</v>
      </c>
      <c r="C242" s="182" t="s">
        <v>2456</v>
      </c>
      <c r="D242" s="182" t="s">
        <v>121</v>
      </c>
      <c r="E242" s="496">
        <v>50000</v>
      </c>
      <c r="F242" s="325">
        <f t="shared" si="5"/>
        <v>89.135775178182413</v>
      </c>
      <c r="G242" s="326">
        <v>560.94200000000001</v>
      </c>
      <c r="H242" s="182" t="s">
        <v>323</v>
      </c>
      <c r="I242" s="182" t="s">
        <v>2676</v>
      </c>
      <c r="J242" s="182" t="s">
        <v>98</v>
      </c>
      <c r="K242" s="438" t="s">
        <v>1902</v>
      </c>
      <c r="L242" s="182" t="s">
        <v>155</v>
      </c>
    </row>
    <row r="243" spans="1:12" s="433" customFormat="1">
      <c r="A243" s="505">
        <v>45888</v>
      </c>
      <c r="B243" s="182" t="s">
        <v>3053</v>
      </c>
      <c r="C243" s="182" t="s">
        <v>174</v>
      </c>
      <c r="D243" s="182" t="s">
        <v>121</v>
      </c>
      <c r="E243" s="496">
        <v>1000</v>
      </c>
      <c r="F243" s="325">
        <f t="shared" si="5"/>
        <v>1.7827155035636482</v>
      </c>
      <c r="G243" s="326">
        <v>560.94200000000001</v>
      </c>
      <c r="H243" s="182" t="s">
        <v>323</v>
      </c>
      <c r="I243" s="182" t="s">
        <v>2671</v>
      </c>
      <c r="J243" s="182" t="s">
        <v>98</v>
      </c>
      <c r="K243" s="438" t="s">
        <v>1902</v>
      </c>
      <c r="L243" s="182" t="s">
        <v>155</v>
      </c>
    </row>
    <row r="244" spans="1:12" s="433" customFormat="1">
      <c r="A244" s="505">
        <v>45888</v>
      </c>
      <c r="B244" s="182" t="s">
        <v>3054</v>
      </c>
      <c r="C244" s="182" t="s">
        <v>174</v>
      </c>
      <c r="D244" s="182" t="s">
        <v>121</v>
      </c>
      <c r="E244" s="496">
        <v>1000</v>
      </c>
      <c r="F244" s="325">
        <f t="shared" si="5"/>
        <v>1.7827155035636482</v>
      </c>
      <c r="G244" s="326">
        <v>560.94200000000001</v>
      </c>
      <c r="H244" s="182" t="s">
        <v>323</v>
      </c>
      <c r="I244" s="182" t="s">
        <v>2671</v>
      </c>
      <c r="J244" s="182" t="s">
        <v>98</v>
      </c>
      <c r="K244" s="438" t="s">
        <v>1902</v>
      </c>
      <c r="L244" s="182" t="s">
        <v>155</v>
      </c>
    </row>
    <row r="245" spans="1:12" s="433" customFormat="1">
      <c r="A245" s="505">
        <v>45888</v>
      </c>
      <c r="B245" s="182" t="s">
        <v>2721</v>
      </c>
      <c r="C245" s="182" t="s">
        <v>174</v>
      </c>
      <c r="D245" s="182" t="s">
        <v>117</v>
      </c>
      <c r="E245" s="435">
        <v>1000</v>
      </c>
      <c r="F245" s="325">
        <f t="shared" si="5"/>
        <v>1.7827155035636482</v>
      </c>
      <c r="G245" s="326">
        <v>560.94200000000001</v>
      </c>
      <c r="H245" s="182" t="s">
        <v>193</v>
      </c>
      <c r="I245" s="182" t="s">
        <v>2753</v>
      </c>
      <c r="J245" s="182" t="s">
        <v>98</v>
      </c>
      <c r="K245" s="438" t="s">
        <v>1902</v>
      </c>
      <c r="L245" s="182" t="s">
        <v>155</v>
      </c>
    </row>
    <row r="246" spans="1:12" s="433" customFormat="1">
      <c r="A246" s="505">
        <v>45888</v>
      </c>
      <c r="B246" s="182" t="s">
        <v>2722</v>
      </c>
      <c r="C246" s="182" t="s">
        <v>174</v>
      </c>
      <c r="D246" s="182" t="s">
        <v>117</v>
      </c>
      <c r="E246" s="435">
        <v>4000</v>
      </c>
      <c r="F246" s="325">
        <f t="shared" si="5"/>
        <v>7.1308620142545927</v>
      </c>
      <c r="G246" s="326">
        <v>560.94200000000001</v>
      </c>
      <c r="H246" s="182" t="s">
        <v>193</v>
      </c>
      <c r="I246" s="182" t="s">
        <v>2756</v>
      </c>
      <c r="J246" s="182" t="s">
        <v>98</v>
      </c>
      <c r="K246" s="438" t="s">
        <v>1902</v>
      </c>
      <c r="L246" s="182" t="s">
        <v>155</v>
      </c>
    </row>
    <row r="247" spans="1:12" s="433" customFormat="1">
      <c r="A247" s="505">
        <v>45888</v>
      </c>
      <c r="B247" s="182" t="s">
        <v>2723</v>
      </c>
      <c r="C247" s="182" t="s">
        <v>174</v>
      </c>
      <c r="D247" s="182" t="s">
        <v>117</v>
      </c>
      <c r="E247" s="435">
        <v>500</v>
      </c>
      <c r="F247" s="325">
        <f t="shared" si="5"/>
        <v>0.89135775178182408</v>
      </c>
      <c r="G247" s="326">
        <v>560.94200000000001</v>
      </c>
      <c r="H247" s="182" t="s">
        <v>193</v>
      </c>
      <c r="I247" s="182" t="s">
        <v>2753</v>
      </c>
      <c r="J247" s="182" t="s">
        <v>98</v>
      </c>
      <c r="K247" s="438" t="s">
        <v>1902</v>
      </c>
      <c r="L247" s="182" t="s">
        <v>155</v>
      </c>
    </row>
    <row r="248" spans="1:12" s="433" customFormat="1">
      <c r="A248" s="505">
        <v>45888</v>
      </c>
      <c r="B248" s="182" t="s">
        <v>2724</v>
      </c>
      <c r="C248" s="182" t="s">
        <v>174</v>
      </c>
      <c r="D248" s="182" t="s">
        <v>117</v>
      </c>
      <c r="E248" s="435">
        <v>300</v>
      </c>
      <c r="F248" s="325">
        <f t="shared" si="5"/>
        <v>0.53481465106909443</v>
      </c>
      <c r="G248" s="326">
        <v>560.94200000000001</v>
      </c>
      <c r="H248" s="182" t="s">
        <v>193</v>
      </c>
      <c r="I248" s="182" t="s">
        <v>2753</v>
      </c>
      <c r="J248" s="182" t="s">
        <v>98</v>
      </c>
      <c r="K248" s="438" t="s">
        <v>1902</v>
      </c>
      <c r="L248" s="182" t="s">
        <v>155</v>
      </c>
    </row>
    <row r="249" spans="1:12" s="433" customFormat="1">
      <c r="A249" s="505">
        <v>45888</v>
      </c>
      <c r="B249" s="182" t="s">
        <v>2725</v>
      </c>
      <c r="C249" s="182" t="s">
        <v>313</v>
      </c>
      <c r="D249" s="182" t="s">
        <v>117</v>
      </c>
      <c r="E249" s="435">
        <v>1500</v>
      </c>
      <c r="F249" s="325">
        <f t="shared" si="5"/>
        <v>2.6740732553454722</v>
      </c>
      <c r="G249" s="326">
        <v>560.94200000000001</v>
      </c>
      <c r="H249" s="182" t="s">
        <v>193</v>
      </c>
      <c r="I249" s="182" t="s">
        <v>2757</v>
      </c>
      <c r="J249" s="182" t="s">
        <v>98</v>
      </c>
      <c r="K249" s="438" t="s">
        <v>1902</v>
      </c>
      <c r="L249" s="182" t="s">
        <v>155</v>
      </c>
    </row>
    <row r="250" spans="1:12" s="433" customFormat="1">
      <c r="A250" s="505">
        <v>45888</v>
      </c>
      <c r="B250" s="182" t="s">
        <v>2726</v>
      </c>
      <c r="C250" s="182" t="s">
        <v>174</v>
      </c>
      <c r="D250" s="182" t="s">
        <v>117</v>
      </c>
      <c r="E250" s="435">
        <v>300</v>
      </c>
      <c r="F250" s="325">
        <f t="shared" si="5"/>
        <v>0.53481465106909443</v>
      </c>
      <c r="G250" s="326">
        <v>560.94200000000001</v>
      </c>
      <c r="H250" s="182" t="s">
        <v>193</v>
      </c>
      <c r="I250" s="182" t="s">
        <v>2753</v>
      </c>
      <c r="J250" s="182" t="s">
        <v>98</v>
      </c>
      <c r="K250" s="438" t="s">
        <v>1902</v>
      </c>
      <c r="L250" s="182" t="s">
        <v>155</v>
      </c>
    </row>
    <row r="251" spans="1:12" s="433" customFormat="1">
      <c r="A251" s="505">
        <v>45888</v>
      </c>
      <c r="B251" s="182" t="s">
        <v>2727</v>
      </c>
      <c r="C251" s="182" t="s">
        <v>174</v>
      </c>
      <c r="D251" s="182" t="s">
        <v>117</v>
      </c>
      <c r="E251" s="435">
        <v>300</v>
      </c>
      <c r="F251" s="325">
        <f t="shared" si="5"/>
        <v>0.53481465106909443</v>
      </c>
      <c r="G251" s="326">
        <v>560.94200000000001</v>
      </c>
      <c r="H251" s="182" t="s">
        <v>193</v>
      </c>
      <c r="I251" s="182" t="s">
        <v>2753</v>
      </c>
      <c r="J251" s="182" t="s">
        <v>98</v>
      </c>
      <c r="K251" s="438" t="s">
        <v>1902</v>
      </c>
      <c r="L251" s="182" t="s">
        <v>155</v>
      </c>
    </row>
    <row r="252" spans="1:12" s="433" customFormat="1">
      <c r="A252" s="505">
        <v>45888</v>
      </c>
      <c r="B252" s="182" t="s">
        <v>2728</v>
      </c>
      <c r="C252" s="182" t="s">
        <v>177</v>
      </c>
      <c r="D252" s="182" t="s">
        <v>117</v>
      </c>
      <c r="E252" s="435">
        <v>20000</v>
      </c>
      <c r="F252" s="325">
        <f t="shared" si="5"/>
        <v>35.654310071272967</v>
      </c>
      <c r="G252" s="326">
        <v>560.94200000000001</v>
      </c>
      <c r="H252" s="182" t="s">
        <v>193</v>
      </c>
      <c r="I252" s="182" t="s">
        <v>2758</v>
      </c>
      <c r="J252" s="182" t="s">
        <v>98</v>
      </c>
      <c r="K252" s="438" t="s">
        <v>1902</v>
      </c>
      <c r="L252" s="182" t="s">
        <v>155</v>
      </c>
    </row>
    <row r="253" spans="1:12" s="433" customFormat="1">
      <c r="A253" s="505">
        <v>45888</v>
      </c>
      <c r="B253" s="182" t="s">
        <v>2870</v>
      </c>
      <c r="C253" s="182" t="s">
        <v>174</v>
      </c>
      <c r="D253" s="182" t="s">
        <v>117</v>
      </c>
      <c r="E253" s="182">
        <v>1000</v>
      </c>
      <c r="F253" s="325">
        <f t="shared" si="5"/>
        <v>1.7827155035636482</v>
      </c>
      <c r="G253" s="326">
        <v>560.94200000000001</v>
      </c>
      <c r="H253" s="182" t="s">
        <v>187</v>
      </c>
      <c r="I253" s="182" t="s">
        <v>2880</v>
      </c>
      <c r="J253" s="182" t="s">
        <v>98</v>
      </c>
      <c r="K253" s="438" t="s">
        <v>1902</v>
      </c>
      <c r="L253" s="182" t="s">
        <v>155</v>
      </c>
    </row>
    <row r="254" spans="1:12" s="433" customFormat="1">
      <c r="A254" s="505">
        <v>45888</v>
      </c>
      <c r="B254" s="182" t="s">
        <v>2871</v>
      </c>
      <c r="C254" s="182" t="s">
        <v>174</v>
      </c>
      <c r="D254" s="182" t="s">
        <v>117</v>
      </c>
      <c r="E254" s="182">
        <v>1000</v>
      </c>
      <c r="F254" s="325">
        <f t="shared" si="5"/>
        <v>1.7827155035636482</v>
      </c>
      <c r="G254" s="326">
        <v>560.94200000000001</v>
      </c>
      <c r="H254" s="182" t="s">
        <v>187</v>
      </c>
      <c r="I254" s="182" t="s">
        <v>2880</v>
      </c>
      <c r="J254" s="182" t="s">
        <v>98</v>
      </c>
      <c r="K254" s="438" t="s">
        <v>1902</v>
      </c>
      <c r="L254" s="182" t="s">
        <v>155</v>
      </c>
    </row>
    <row r="255" spans="1:12" s="433" customFormat="1">
      <c r="A255" s="505">
        <v>45888</v>
      </c>
      <c r="B255" s="182" t="s">
        <v>2872</v>
      </c>
      <c r="C255" s="182" t="s">
        <v>174</v>
      </c>
      <c r="D255" s="182" t="s">
        <v>117</v>
      </c>
      <c r="E255" s="182">
        <v>1000</v>
      </c>
      <c r="F255" s="325">
        <f t="shared" si="5"/>
        <v>1.7827155035636482</v>
      </c>
      <c r="G255" s="326">
        <v>560.94200000000001</v>
      </c>
      <c r="H255" s="182" t="s">
        <v>187</v>
      </c>
      <c r="I255" s="182" t="s">
        <v>2880</v>
      </c>
      <c r="J255" s="182" t="s">
        <v>98</v>
      </c>
      <c r="K255" s="438" t="s">
        <v>1902</v>
      </c>
      <c r="L255" s="182" t="s">
        <v>155</v>
      </c>
    </row>
    <row r="256" spans="1:12" s="433" customFormat="1">
      <c r="A256" s="505">
        <v>45888</v>
      </c>
      <c r="B256" s="182" t="s">
        <v>2690</v>
      </c>
      <c r="C256" s="182" t="s">
        <v>174</v>
      </c>
      <c r="D256" s="182" t="s">
        <v>117</v>
      </c>
      <c r="E256" s="435">
        <v>9000</v>
      </c>
      <c r="F256" s="325">
        <f t="shared" si="5"/>
        <v>16.044439532072836</v>
      </c>
      <c r="G256" s="326">
        <v>560.94200000000001</v>
      </c>
      <c r="H256" s="182" t="s">
        <v>190</v>
      </c>
      <c r="I256" s="182" t="s">
        <v>2711</v>
      </c>
      <c r="J256" s="182" t="s">
        <v>98</v>
      </c>
      <c r="K256" s="438" t="s">
        <v>1902</v>
      </c>
      <c r="L256" s="182" t="s">
        <v>155</v>
      </c>
    </row>
    <row r="257" spans="1:15" s="433" customFormat="1">
      <c r="A257" s="535">
        <v>45889</v>
      </c>
      <c r="B257" s="517" t="s">
        <v>2099</v>
      </c>
      <c r="C257" s="308" t="s">
        <v>174</v>
      </c>
      <c r="D257" s="308" t="s">
        <v>119</v>
      </c>
      <c r="E257" s="517">
        <v>1000</v>
      </c>
      <c r="F257" s="325">
        <f t="shared" si="5"/>
        <v>1.7827155035636482</v>
      </c>
      <c r="G257" s="326">
        <v>560.94200000000001</v>
      </c>
      <c r="H257" s="524" t="s">
        <v>153</v>
      </c>
      <c r="I257" s="525" t="s">
        <v>2494</v>
      </c>
      <c r="J257" s="182" t="s">
        <v>98</v>
      </c>
      <c r="K257" s="438" t="s">
        <v>1902</v>
      </c>
      <c r="L257" s="182" t="s">
        <v>155</v>
      </c>
      <c r="M257" s="550"/>
      <c r="N257" s="550"/>
      <c r="O257" s="550"/>
    </row>
    <row r="258" spans="1:15" s="433" customFormat="1">
      <c r="A258" s="535">
        <v>45889</v>
      </c>
      <c r="B258" s="517" t="s">
        <v>2100</v>
      </c>
      <c r="C258" s="308" t="s">
        <v>174</v>
      </c>
      <c r="D258" s="308" t="s">
        <v>119</v>
      </c>
      <c r="E258" s="517">
        <v>1000</v>
      </c>
      <c r="F258" s="325">
        <f t="shared" si="5"/>
        <v>1.7827155035636482</v>
      </c>
      <c r="G258" s="326">
        <v>560.94200000000001</v>
      </c>
      <c r="H258" s="524" t="s">
        <v>153</v>
      </c>
      <c r="I258" s="525" t="s">
        <v>2494</v>
      </c>
      <c r="J258" s="182" t="s">
        <v>98</v>
      </c>
      <c r="K258" s="438" t="s">
        <v>1902</v>
      </c>
      <c r="L258" s="182" t="s">
        <v>155</v>
      </c>
      <c r="M258" s="550"/>
      <c r="N258" s="550"/>
      <c r="O258" s="550"/>
    </row>
    <row r="259" spans="1:15" s="433" customFormat="1">
      <c r="A259" s="504">
        <v>45889</v>
      </c>
      <c r="B259" s="182" t="s">
        <v>2523</v>
      </c>
      <c r="C259" s="182" t="s">
        <v>174</v>
      </c>
      <c r="D259" s="182" t="s">
        <v>118</v>
      </c>
      <c r="E259" s="435">
        <v>500</v>
      </c>
      <c r="F259" s="325">
        <f t="shared" si="5"/>
        <v>0.89135775178182408</v>
      </c>
      <c r="G259" s="326">
        <v>560.94200000000001</v>
      </c>
      <c r="H259" s="182" t="s">
        <v>583</v>
      </c>
      <c r="I259" s="182" t="s">
        <v>2536</v>
      </c>
      <c r="J259" s="182" t="s">
        <v>98</v>
      </c>
      <c r="K259" s="438" t="s">
        <v>1902</v>
      </c>
      <c r="L259" s="182" t="s">
        <v>155</v>
      </c>
      <c r="M259" s="550"/>
      <c r="N259" s="550"/>
      <c r="O259" s="550"/>
    </row>
    <row r="260" spans="1:15" s="433" customFormat="1">
      <c r="A260" s="504">
        <v>45889</v>
      </c>
      <c r="B260" s="182" t="s">
        <v>2524</v>
      </c>
      <c r="C260" s="182" t="s">
        <v>174</v>
      </c>
      <c r="D260" s="182" t="s">
        <v>118</v>
      </c>
      <c r="E260" s="435">
        <v>500</v>
      </c>
      <c r="F260" s="325">
        <f t="shared" si="5"/>
        <v>0.89135775178182408</v>
      </c>
      <c r="G260" s="326">
        <v>560.94200000000001</v>
      </c>
      <c r="H260" s="182" t="s">
        <v>583</v>
      </c>
      <c r="I260" s="182" t="s">
        <v>2536</v>
      </c>
      <c r="J260" s="182" t="s">
        <v>98</v>
      </c>
      <c r="K260" s="438" t="s">
        <v>1902</v>
      </c>
      <c r="L260" s="182" t="s">
        <v>155</v>
      </c>
      <c r="M260" s="550"/>
      <c r="N260" s="550"/>
      <c r="O260" s="550"/>
    </row>
    <row r="261" spans="1:15" s="433" customFormat="1">
      <c r="A261" s="506">
        <v>45889</v>
      </c>
      <c r="B261" s="182" t="s">
        <v>2388</v>
      </c>
      <c r="C261" s="182" t="s">
        <v>182</v>
      </c>
      <c r="D261" s="182" t="s">
        <v>118</v>
      </c>
      <c r="E261" s="435">
        <v>3180</v>
      </c>
      <c r="F261" s="325">
        <f t="shared" si="5"/>
        <v>5.6690353013324017</v>
      </c>
      <c r="G261" s="326">
        <v>560.94200000000001</v>
      </c>
      <c r="H261" s="182" t="s">
        <v>583</v>
      </c>
      <c r="I261" s="182" t="s">
        <v>2389</v>
      </c>
      <c r="J261" s="182" t="s">
        <v>98</v>
      </c>
      <c r="K261" s="438" t="s">
        <v>1902</v>
      </c>
      <c r="L261" s="182" t="s">
        <v>155</v>
      </c>
      <c r="M261" s="550"/>
      <c r="N261" s="550"/>
      <c r="O261" s="550"/>
    </row>
    <row r="262" spans="1:15" s="433" customFormat="1">
      <c r="A262" s="467">
        <v>45889</v>
      </c>
      <c r="B262" s="177" t="s">
        <v>3039</v>
      </c>
      <c r="C262" s="177" t="s">
        <v>174</v>
      </c>
      <c r="D262" s="177" t="s">
        <v>121</v>
      </c>
      <c r="E262" s="177">
        <v>1000</v>
      </c>
      <c r="F262" s="325">
        <f t="shared" si="5"/>
        <v>1.7827155035636482</v>
      </c>
      <c r="G262" s="326">
        <v>560.94200000000001</v>
      </c>
      <c r="H262" s="177" t="s">
        <v>184</v>
      </c>
      <c r="I262" s="177" t="s">
        <v>2558</v>
      </c>
      <c r="J262" s="182" t="s">
        <v>98</v>
      </c>
      <c r="K262" s="438" t="s">
        <v>1902</v>
      </c>
      <c r="L262" s="182" t="s">
        <v>155</v>
      </c>
    </row>
    <row r="263" spans="1:15" s="433" customFormat="1">
      <c r="A263" s="467">
        <v>45889</v>
      </c>
      <c r="B263" s="177" t="s">
        <v>3043</v>
      </c>
      <c r="C263" s="177" t="s">
        <v>174</v>
      </c>
      <c r="D263" s="177" t="s">
        <v>121</v>
      </c>
      <c r="E263" s="177">
        <v>1000</v>
      </c>
      <c r="F263" s="325">
        <f t="shared" si="5"/>
        <v>1.7827155035636482</v>
      </c>
      <c r="G263" s="326">
        <v>560.94200000000001</v>
      </c>
      <c r="H263" s="177" t="s">
        <v>184</v>
      </c>
      <c r="I263" s="177" t="s">
        <v>2558</v>
      </c>
      <c r="J263" s="182" t="s">
        <v>98</v>
      </c>
      <c r="K263" s="438" t="s">
        <v>1902</v>
      </c>
      <c r="L263" s="182" t="s">
        <v>155</v>
      </c>
    </row>
    <row r="264" spans="1:15" s="433" customFormat="1">
      <c r="A264" s="467">
        <v>45889</v>
      </c>
      <c r="B264" s="177" t="s">
        <v>3039</v>
      </c>
      <c r="C264" s="177" t="s">
        <v>174</v>
      </c>
      <c r="D264" s="177" t="s">
        <v>121</v>
      </c>
      <c r="E264" s="177">
        <v>1000</v>
      </c>
      <c r="F264" s="325">
        <f t="shared" si="5"/>
        <v>1.7827155035636482</v>
      </c>
      <c r="G264" s="326">
        <v>560.94200000000001</v>
      </c>
      <c r="H264" s="177" t="s">
        <v>184</v>
      </c>
      <c r="I264" s="177" t="s">
        <v>2558</v>
      </c>
      <c r="J264" s="182" t="s">
        <v>98</v>
      </c>
      <c r="K264" s="438" t="s">
        <v>1902</v>
      </c>
      <c r="L264" s="182" t="s">
        <v>155</v>
      </c>
    </row>
    <row r="265" spans="1:15" s="433" customFormat="1">
      <c r="A265" s="467">
        <v>45889</v>
      </c>
      <c r="B265" s="177" t="s">
        <v>3039</v>
      </c>
      <c r="C265" s="177" t="s">
        <v>174</v>
      </c>
      <c r="D265" s="177" t="s">
        <v>121</v>
      </c>
      <c r="E265" s="177">
        <v>1000</v>
      </c>
      <c r="F265" s="325">
        <f t="shared" si="5"/>
        <v>1.7827155035636482</v>
      </c>
      <c r="G265" s="326">
        <v>560.94200000000001</v>
      </c>
      <c r="H265" s="177" t="s">
        <v>184</v>
      </c>
      <c r="I265" s="177" t="s">
        <v>2558</v>
      </c>
      <c r="J265" s="182" t="s">
        <v>98</v>
      </c>
      <c r="K265" s="438" t="s">
        <v>1902</v>
      </c>
      <c r="L265" s="182" t="s">
        <v>155</v>
      </c>
    </row>
    <row r="266" spans="1:15" s="433" customFormat="1">
      <c r="A266" s="505">
        <v>45889</v>
      </c>
      <c r="B266" s="182" t="s">
        <v>3007</v>
      </c>
      <c r="C266" s="182" t="s">
        <v>174</v>
      </c>
      <c r="D266" s="177" t="s">
        <v>121</v>
      </c>
      <c r="E266" s="182">
        <v>500</v>
      </c>
      <c r="F266" s="325">
        <f t="shared" si="5"/>
        <v>0.89135775178182408</v>
      </c>
      <c r="G266" s="326">
        <v>560.94200000000001</v>
      </c>
      <c r="H266" s="182" t="s">
        <v>175</v>
      </c>
      <c r="I266" s="182" t="s">
        <v>2588</v>
      </c>
      <c r="J266" s="182" t="s">
        <v>98</v>
      </c>
      <c r="K266" s="438" t="s">
        <v>1902</v>
      </c>
      <c r="L266" s="182" t="s">
        <v>155</v>
      </c>
    </row>
    <row r="267" spans="1:15" s="433" customFormat="1">
      <c r="A267" s="505">
        <v>45889</v>
      </c>
      <c r="B267" s="182" t="s">
        <v>3008</v>
      </c>
      <c r="C267" s="182" t="s">
        <v>174</v>
      </c>
      <c r="D267" s="177" t="s">
        <v>121</v>
      </c>
      <c r="E267" s="182">
        <v>500</v>
      </c>
      <c r="F267" s="325">
        <f t="shared" si="5"/>
        <v>0.89135775178182408</v>
      </c>
      <c r="G267" s="326">
        <v>560.94200000000001</v>
      </c>
      <c r="H267" s="182" t="s">
        <v>175</v>
      </c>
      <c r="I267" s="182" t="s">
        <v>2588</v>
      </c>
      <c r="J267" s="182" t="s">
        <v>98</v>
      </c>
      <c r="K267" s="438" t="s">
        <v>1902</v>
      </c>
      <c r="L267" s="182" t="s">
        <v>155</v>
      </c>
    </row>
    <row r="268" spans="1:15" s="433" customFormat="1">
      <c r="A268" s="505">
        <v>45889</v>
      </c>
      <c r="B268" s="182" t="s">
        <v>3042</v>
      </c>
      <c r="C268" s="182" t="s">
        <v>174</v>
      </c>
      <c r="D268" s="182" t="s">
        <v>121</v>
      </c>
      <c r="E268" s="182">
        <v>500</v>
      </c>
      <c r="F268" s="325">
        <f t="shared" si="5"/>
        <v>0.89135775178182408</v>
      </c>
      <c r="G268" s="326">
        <v>560.94200000000001</v>
      </c>
      <c r="H268" s="182" t="s">
        <v>317</v>
      </c>
      <c r="I268" s="182" t="s">
        <v>2632</v>
      </c>
      <c r="J268" s="182" t="s">
        <v>98</v>
      </c>
      <c r="K268" s="438" t="s">
        <v>1902</v>
      </c>
      <c r="L268" s="182" t="s">
        <v>155</v>
      </c>
    </row>
    <row r="269" spans="1:15" s="433" customFormat="1">
      <c r="A269" s="505">
        <v>45889</v>
      </c>
      <c r="B269" s="182" t="s">
        <v>2628</v>
      </c>
      <c r="C269" s="182" t="s">
        <v>365</v>
      </c>
      <c r="D269" s="182" t="s">
        <v>121</v>
      </c>
      <c r="E269" s="182">
        <v>1500</v>
      </c>
      <c r="F269" s="325">
        <f t="shared" si="5"/>
        <v>2.6740732553454722</v>
      </c>
      <c r="G269" s="326">
        <v>560.94200000000001</v>
      </c>
      <c r="H269" s="182" t="s">
        <v>317</v>
      </c>
      <c r="I269" s="182" t="s">
        <v>2639</v>
      </c>
      <c r="J269" s="182" t="s">
        <v>98</v>
      </c>
      <c r="K269" s="438" t="s">
        <v>1902</v>
      </c>
      <c r="L269" s="182" t="s">
        <v>155</v>
      </c>
    </row>
    <row r="270" spans="1:15" s="433" customFormat="1">
      <c r="A270" s="505">
        <v>45889</v>
      </c>
      <c r="B270" s="182" t="s">
        <v>3037</v>
      </c>
      <c r="C270" s="182" t="s">
        <v>174</v>
      </c>
      <c r="D270" s="182" t="s">
        <v>121</v>
      </c>
      <c r="E270" s="182">
        <v>500</v>
      </c>
      <c r="F270" s="325">
        <f t="shared" si="5"/>
        <v>0.89135775178182408</v>
      </c>
      <c r="G270" s="326">
        <v>560.94200000000001</v>
      </c>
      <c r="H270" s="182" t="s">
        <v>317</v>
      </c>
      <c r="I270" s="182" t="s">
        <v>2632</v>
      </c>
      <c r="J270" s="182" t="s">
        <v>98</v>
      </c>
      <c r="K270" s="438" t="s">
        <v>1902</v>
      </c>
      <c r="L270" s="182" t="s">
        <v>155</v>
      </c>
    </row>
    <row r="271" spans="1:15" s="433" customFormat="1">
      <c r="A271" s="505">
        <v>45889</v>
      </c>
      <c r="B271" s="182" t="s">
        <v>3037</v>
      </c>
      <c r="C271" s="182" t="s">
        <v>174</v>
      </c>
      <c r="D271" s="182" t="s">
        <v>121</v>
      </c>
      <c r="E271" s="182">
        <v>500</v>
      </c>
      <c r="F271" s="325">
        <f t="shared" ref="F271:F334" si="6">E271/G271</f>
        <v>0.89135775178182408</v>
      </c>
      <c r="G271" s="326">
        <v>560.94200000000001</v>
      </c>
      <c r="H271" s="182" t="s">
        <v>317</v>
      </c>
      <c r="I271" s="182" t="s">
        <v>2632</v>
      </c>
      <c r="J271" s="182" t="s">
        <v>98</v>
      </c>
      <c r="K271" s="438" t="s">
        <v>1902</v>
      </c>
      <c r="L271" s="182" t="s">
        <v>155</v>
      </c>
    </row>
    <row r="272" spans="1:15" s="433" customFormat="1">
      <c r="A272" s="505">
        <v>45889</v>
      </c>
      <c r="B272" s="182" t="s">
        <v>3042</v>
      </c>
      <c r="C272" s="182" t="s">
        <v>174</v>
      </c>
      <c r="D272" s="182" t="s">
        <v>121</v>
      </c>
      <c r="E272" s="182">
        <v>500</v>
      </c>
      <c r="F272" s="325">
        <f t="shared" si="6"/>
        <v>0.89135775178182408</v>
      </c>
      <c r="G272" s="326">
        <v>560.94200000000001</v>
      </c>
      <c r="H272" s="182" t="s">
        <v>317</v>
      </c>
      <c r="I272" s="182" t="s">
        <v>2632</v>
      </c>
      <c r="J272" s="182" t="s">
        <v>98</v>
      </c>
      <c r="K272" s="438" t="s">
        <v>1902</v>
      </c>
      <c r="L272" s="182" t="s">
        <v>155</v>
      </c>
    </row>
    <row r="273" spans="1:12" s="433" customFormat="1">
      <c r="A273" s="505">
        <v>45889</v>
      </c>
      <c r="B273" s="182" t="s">
        <v>3042</v>
      </c>
      <c r="C273" s="182" t="s">
        <v>174</v>
      </c>
      <c r="D273" s="182" t="s">
        <v>121</v>
      </c>
      <c r="E273" s="182">
        <v>500</v>
      </c>
      <c r="F273" s="325">
        <f t="shared" si="6"/>
        <v>0.89135775178182408</v>
      </c>
      <c r="G273" s="326">
        <v>560.94200000000001</v>
      </c>
      <c r="H273" s="182" t="s">
        <v>317</v>
      </c>
      <c r="I273" s="182" t="s">
        <v>2632</v>
      </c>
      <c r="J273" s="182" t="s">
        <v>98</v>
      </c>
      <c r="K273" s="438" t="s">
        <v>1902</v>
      </c>
      <c r="L273" s="182" t="s">
        <v>155</v>
      </c>
    </row>
    <row r="274" spans="1:12" s="433" customFormat="1">
      <c r="A274" s="505">
        <v>45889</v>
      </c>
      <c r="B274" s="182" t="s">
        <v>3055</v>
      </c>
      <c r="C274" s="182" t="s">
        <v>174</v>
      </c>
      <c r="D274" s="182" t="s">
        <v>121</v>
      </c>
      <c r="E274" s="496">
        <v>1000</v>
      </c>
      <c r="F274" s="325">
        <f t="shared" si="6"/>
        <v>1.7827155035636482</v>
      </c>
      <c r="G274" s="326">
        <v>560.94200000000001</v>
      </c>
      <c r="H274" s="182" t="s">
        <v>323</v>
      </c>
      <c r="I274" s="182" t="s">
        <v>2671</v>
      </c>
      <c r="J274" s="182" t="s">
        <v>98</v>
      </c>
      <c r="K274" s="438" t="s">
        <v>1902</v>
      </c>
      <c r="L274" s="182" t="s">
        <v>155</v>
      </c>
    </row>
    <row r="275" spans="1:12" s="433" customFormat="1">
      <c r="A275" s="505">
        <v>45889</v>
      </c>
      <c r="B275" s="182" t="s">
        <v>3056</v>
      </c>
      <c r="C275" s="182" t="s">
        <v>174</v>
      </c>
      <c r="D275" s="182" t="s">
        <v>121</v>
      </c>
      <c r="E275" s="496">
        <v>1000</v>
      </c>
      <c r="F275" s="325">
        <f t="shared" si="6"/>
        <v>1.7827155035636482</v>
      </c>
      <c r="G275" s="326">
        <v>560.94200000000001</v>
      </c>
      <c r="H275" s="182" t="s">
        <v>323</v>
      </c>
      <c r="I275" s="182" t="s">
        <v>2671</v>
      </c>
      <c r="J275" s="182" t="s">
        <v>98</v>
      </c>
      <c r="K275" s="438" t="s">
        <v>1902</v>
      </c>
      <c r="L275" s="182" t="s">
        <v>155</v>
      </c>
    </row>
    <row r="276" spans="1:12" s="433" customFormat="1">
      <c r="A276" s="505">
        <v>45889</v>
      </c>
      <c r="B276" s="182" t="s">
        <v>3057</v>
      </c>
      <c r="C276" s="182" t="s">
        <v>174</v>
      </c>
      <c r="D276" s="182" t="s">
        <v>121</v>
      </c>
      <c r="E276" s="496">
        <v>1000</v>
      </c>
      <c r="F276" s="325">
        <f t="shared" si="6"/>
        <v>1.7827155035636482</v>
      </c>
      <c r="G276" s="326">
        <v>560.94200000000001</v>
      </c>
      <c r="H276" s="182" t="s">
        <v>323</v>
      </c>
      <c r="I276" s="182" t="s">
        <v>2671</v>
      </c>
      <c r="J276" s="182" t="s">
        <v>98</v>
      </c>
      <c r="K276" s="438" t="s">
        <v>1902</v>
      </c>
      <c r="L276" s="182" t="s">
        <v>155</v>
      </c>
    </row>
    <row r="277" spans="1:12" s="433" customFormat="1">
      <c r="A277" s="505">
        <v>45889</v>
      </c>
      <c r="B277" s="182" t="s">
        <v>3058</v>
      </c>
      <c r="C277" s="182" t="s">
        <v>174</v>
      </c>
      <c r="D277" s="182" t="s">
        <v>121</v>
      </c>
      <c r="E277" s="496">
        <v>1000</v>
      </c>
      <c r="F277" s="325">
        <f t="shared" si="6"/>
        <v>1.7827155035636482</v>
      </c>
      <c r="G277" s="326">
        <v>560.94200000000001</v>
      </c>
      <c r="H277" s="182" t="s">
        <v>323</v>
      </c>
      <c r="I277" s="182" t="s">
        <v>2671</v>
      </c>
      <c r="J277" s="182" t="s">
        <v>98</v>
      </c>
      <c r="K277" s="438" t="s">
        <v>1902</v>
      </c>
      <c r="L277" s="182" t="s">
        <v>155</v>
      </c>
    </row>
    <row r="278" spans="1:12" s="433" customFormat="1">
      <c r="A278" s="505">
        <v>45889</v>
      </c>
      <c r="B278" s="182" t="s">
        <v>2664</v>
      </c>
      <c r="C278" s="182" t="s">
        <v>368</v>
      </c>
      <c r="D278" s="182" t="s">
        <v>121</v>
      </c>
      <c r="E278" s="496">
        <v>1000</v>
      </c>
      <c r="F278" s="325">
        <f t="shared" si="6"/>
        <v>1.7827155035636482</v>
      </c>
      <c r="G278" s="326">
        <v>560.94200000000001</v>
      </c>
      <c r="H278" s="182" t="s">
        <v>323</v>
      </c>
      <c r="I278" s="182" t="s">
        <v>2678</v>
      </c>
      <c r="J278" s="182" t="s">
        <v>98</v>
      </c>
      <c r="K278" s="438" t="s">
        <v>1902</v>
      </c>
      <c r="L278" s="182" t="s">
        <v>155</v>
      </c>
    </row>
    <row r="279" spans="1:12" s="433" customFormat="1">
      <c r="A279" s="505">
        <v>45889</v>
      </c>
      <c r="B279" s="182" t="s">
        <v>3059</v>
      </c>
      <c r="C279" s="182" t="s">
        <v>174</v>
      </c>
      <c r="D279" s="182" t="s">
        <v>121</v>
      </c>
      <c r="E279" s="496">
        <v>1000</v>
      </c>
      <c r="F279" s="325">
        <f t="shared" si="6"/>
        <v>1.7827155035636482</v>
      </c>
      <c r="G279" s="326">
        <v>560.94200000000001</v>
      </c>
      <c r="H279" s="182" t="s">
        <v>323</v>
      </c>
      <c r="I279" s="182" t="s">
        <v>2671</v>
      </c>
      <c r="J279" s="182" t="s">
        <v>98</v>
      </c>
      <c r="K279" s="438" t="s">
        <v>1902</v>
      </c>
      <c r="L279" s="182" t="s">
        <v>155</v>
      </c>
    </row>
    <row r="280" spans="1:12" s="433" customFormat="1">
      <c r="A280" s="505">
        <v>45889</v>
      </c>
      <c r="B280" s="182" t="s">
        <v>2691</v>
      </c>
      <c r="C280" s="182" t="s">
        <v>2456</v>
      </c>
      <c r="D280" s="182" t="s">
        <v>117</v>
      </c>
      <c r="E280" s="435">
        <v>20000</v>
      </c>
      <c r="F280" s="325">
        <f t="shared" si="6"/>
        <v>35.654310071272967</v>
      </c>
      <c r="G280" s="326">
        <v>560.94200000000001</v>
      </c>
      <c r="H280" s="182" t="s">
        <v>190</v>
      </c>
      <c r="I280" s="182" t="s">
        <v>2712</v>
      </c>
      <c r="J280" s="182" t="s">
        <v>98</v>
      </c>
      <c r="K280" s="438" t="s">
        <v>1902</v>
      </c>
      <c r="L280" s="182" t="s">
        <v>155</v>
      </c>
    </row>
    <row r="281" spans="1:12" s="433" customFormat="1">
      <c r="A281" s="505">
        <v>45889</v>
      </c>
      <c r="B281" s="182" t="s">
        <v>2692</v>
      </c>
      <c r="C281" s="182" t="s">
        <v>174</v>
      </c>
      <c r="D281" s="182" t="s">
        <v>117</v>
      </c>
      <c r="E281" s="435">
        <v>1000</v>
      </c>
      <c r="F281" s="325">
        <f t="shared" si="6"/>
        <v>1.7827155035636482</v>
      </c>
      <c r="G281" s="326">
        <v>560.94200000000001</v>
      </c>
      <c r="H281" s="182" t="s">
        <v>190</v>
      </c>
      <c r="I281" s="182" t="s">
        <v>2707</v>
      </c>
      <c r="J281" s="182" t="s">
        <v>98</v>
      </c>
      <c r="K281" s="438" t="s">
        <v>1902</v>
      </c>
      <c r="L281" s="182" t="s">
        <v>155</v>
      </c>
    </row>
    <row r="282" spans="1:12" s="433" customFormat="1">
      <c r="A282" s="505">
        <v>45889</v>
      </c>
      <c r="B282" s="182" t="s">
        <v>2693</v>
      </c>
      <c r="C282" s="182" t="s">
        <v>174</v>
      </c>
      <c r="D282" s="182" t="s">
        <v>117</v>
      </c>
      <c r="E282" s="435">
        <v>1000</v>
      </c>
      <c r="F282" s="325">
        <f t="shared" si="6"/>
        <v>1.7827155035636482</v>
      </c>
      <c r="G282" s="326">
        <v>560.94200000000001</v>
      </c>
      <c r="H282" s="182" t="s">
        <v>190</v>
      </c>
      <c r="I282" s="182" t="s">
        <v>2707</v>
      </c>
      <c r="J282" s="182" t="s">
        <v>98</v>
      </c>
      <c r="K282" s="438" t="s">
        <v>1902</v>
      </c>
      <c r="L282" s="182" t="s">
        <v>155</v>
      </c>
    </row>
    <row r="283" spans="1:12" s="433" customFormat="1">
      <c r="A283" s="505">
        <v>45889</v>
      </c>
      <c r="B283" s="182" t="s">
        <v>2694</v>
      </c>
      <c r="C283" s="182" t="s">
        <v>174</v>
      </c>
      <c r="D283" s="182" t="s">
        <v>117</v>
      </c>
      <c r="E283" s="435">
        <v>1000</v>
      </c>
      <c r="F283" s="325">
        <f t="shared" si="6"/>
        <v>1.7827155035636482</v>
      </c>
      <c r="G283" s="326">
        <v>560.94200000000001</v>
      </c>
      <c r="H283" s="182" t="s">
        <v>190</v>
      </c>
      <c r="I283" s="182" t="s">
        <v>2707</v>
      </c>
      <c r="J283" s="182" t="s">
        <v>98</v>
      </c>
      <c r="K283" s="438" t="s">
        <v>1902</v>
      </c>
      <c r="L283" s="182" t="s">
        <v>155</v>
      </c>
    </row>
    <row r="284" spans="1:12" s="433" customFormat="1">
      <c r="A284" s="505">
        <v>45889</v>
      </c>
      <c r="B284" s="182" t="s">
        <v>2695</v>
      </c>
      <c r="C284" s="182" t="s">
        <v>313</v>
      </c>
      <c r="D284" s="182" t="s">
        <v>117</v>
      </c>
      <c r="E284" s="435">
        <v>7500</v>
      </c>
      <c r="F284" s="325">
        <f t="shared" si="6"/>
        <v>13.370366276727362</v>
      </c>
      <c r="G284" s="326">
        <v>560.94200000000001</v>
      </c>
      <c r="H284" s="182" t="s">
        <v>190</v>
      </c>
      <c r="I284" s="182" t="s">
        <v>2713</v>
      </c>
      <c r="J284" s="182" t="s">
        <v>98</v>
      </c>
      <c r="K284" s="438" t="s">
        <v>1902</v>
      </c>
      <c r="L284" s="182" t="s">
        <v>155</v>
      </c>
    </row>
    <row r="285" spans="1:12" s="433" customFormat="1">
      <c r="A285" s="505">
        <v>45889</v>
      </c>
      <c r="B285" s="182" t="s">
        <v>2697</v>
      </c>
      <c r="C285" s="182" t="s">
        <v>174</v>
      </c>
      <c r="D285" s="182" t="s">
        <v>117</v>
      </c>
      <c r="E285" s="435">
        <v>1000</v>
      </c>
      <c r="F285" s="325">
        <f t="shared" si="6"/>
        <v>1.7827155035636482</v>
      </c>
      <c r="G285" s="326">
        <v>560.94200000000001</v>
      </c>
      <c r="H285" s="182" t="s">
        <v>190</v>
      </c>
      <c r="I285" s="182" t="s">
        <v>2707</v>
      </c>
      <c r="J285" s="182" t="s">
        <v>98</v>
      </c>
      <c r="K285" s="438" t="s">
        <v>1902</v>
      </c>
      <c r="L285" s="182" t="s">
        <v>155</v>
      </c>
    </row>
    <row r="286" spans="1:12" s="433" customFormat="1">
      <c r="A286" s="505">
        <v>45889</v>
      </c>
      <c r="B286" s="182" t="s">
        <v>2724</v>
      </c>
      <c r="C286" s="182" t="s">
        <v>174</v>
      </c>
      <c r="D286" s="182" t="s">
        <v>117</v>
      </c>
      <c r="E286" s="435">
        <v>300</v>
      </c>
      <c r="F286" s="325">
        <f t="shared" si="6"/>
        <v>0.53481465106909443</v>
      </c>
      <c r="G286" s="326">
        <v>560.94200000000001</v>
      </c>
      <c r="H286" s="182" t="s">
        <v>193</v>
      </c>
      <c r="I286" s="182" t="s">
        <v>2753</v>
      </c>
      <c r="J286" s="182" t="s">
        <v>98</v>
      </c>
      <c r="K286" s="438" t="s">
        <v>1902</v>
      </c>
      <c r="L286" s="182" t="s">
        <v>155</v>
      </c>
    </row>
    <row r="287" spans="1:12" s="433" customFormat="1">
      <c r="A287" s="505">
        <v>45889</v>
      </c>
      <c r="B287" s="182" t="s">
        <v>2729</v>
      </c>
      <c r="C287" s="182" t="s">
        <v>313</v>
      </c>
      <c r="D287" s="182" t="s">
        <v>117</v>
      </c>
      <c r="E287" s="435">
        <v>1500</v>
      </c>
      <c r="F287" s="325">
        <f t="shared" si="6"/>
        <v>2.6740732553454722</v>
      </c>
      <c r="G287" s="326">
        <v>560.94200000000001</v>
      </c>
      <c r="H287" s="182" t="s">
        <v>193</v>
      </c>
      <c r="I287" s="182" t="s">
        <v>2757</v>
      </c>
      <c r="J287" s="182" t="s">
        <v>98</v>
      </c>
      <c r="K287" s="438" t="s">
        <v>1902</v>
      </c>
      <c r="L287" s="182" t="s">
        <v>155</v>
      </c>
    </row>
    <row r="288" spans="1:12" s="433" customFormat="1">
      <c r="A288" s="505">
        <v>45889</v>
      </c>
      <c r="B288" s="182" t="s">
        <v>2726</v>
      </c>
      <c r="C288" s="182" t="s">
        <v>174</v>
      </c>
      <c r="D288" s="182" t="s">
        <v>117</v>
      </c>
      <c r="E288" s="435">
        <v>300</v>
      </c>
      <c r="F288" s="325">
        <f t="shared" si="6"/>
        <v>0.53481465106909443</v>
      </c>
      <c r="G288" s="326">
        <v>560.94200000000001</v>
      </c>
      <c r="H288" s="182" t="s">
        <v>193</v>
      </c>
      <c r="I288" s="182" t="s">
        <v>2753</v>
      </c>
      <c r="J288" s="182" t="s">
        <v>98</v>
      </c>
      <c r="K288" s="438" t="s">
        <v>1902</v>
      </c>
      <c r="L288" s="182" t="s">
        <v>155</v>
      </c>
    </row>
    <row r="289" spans="1:15" s="433" customFormat="1">
      <c r="A289" s="505">
        <v>45889</v>
      </c>
      <c r="B289" s="182" t="s">
        <v>2730</v>
      </c>
      <c r="C289" s="182" t="s">
        <v>174</v>
      </c>
      <c r="D289" s="182" t="s">
        <v>117</v>
      </c>
      <c r="E289" s="435">
        <v>300</v>
      </c>
      <c r="F289" s="325">
        <f t="shared" si="6"/>
        <v>0.53481465106909443</v>
      </c>
      <c r="G289" s="326">
        <v>560.94200000000001</v>
      </c>
      <c r="H289" s="182" t="s">
        <v>193</v>
      </c>
      <c r="I289" s="182" t="s">
        <v>2753</v>
      </c>
      <c r="J289" s="182" t="s">
        <v>98</v>
      </c>
      <c r="K289" s="438" t="s">
        <v>1902</v>
      </c>
      <c r="L289" s="182" t="s">
        <v>155</v>
      </c>
    </row>
    <row r="290" spans="1:15" s="433" customFormat="1">
      <c r="A290" s="505">
        <v>45889</v>
      </c>
      <c r="B290" s="182" t="s">
        <v>2731</v>
      </c>
      <c r="C290" s="182" t="s">
        <v>174</v>
      </c>
      <c r="D290" s="182" t="s">
        <v>117</v>
      </c>
      <c r="E290" s="435">
        <v>300</v>
      </c>
      <c r="F290" s="325">
        <f t="shared" si="6"/>
        <v>0.53481465106909443</v>
      </c>
      <c r="G290" s="326">
        <v>560.94200000000001</v>
      </c>
      <c r="H290" s="182" t="s">
        <v>193</v>
      </c>
      <c r="I290" s="182" t="s">
        <v>2753</v>
      </c>
      <c r="J290" s="182" t="s">
        <v>98</v>
      </c>
      <c r="K290" s="438" t="s">
        <v>1902</v>
      </c>
      <c r="L290" s="182" t="s">
        <v>155</v>
      </c>
    </row>
    <row r="291" spans="1:15" s="433" customFormat="1">
      <c r="A291" s="505">
        <v>45889</v>
      </c>
      <c r="B291" s="182" t="s">
        <v>2724</v>
      </c>
      <c r="C291" s="182" t="s">
        <v>174</v>
      </c>
      <c r="D291" s="182" t="s">
        <v>117</v>
      </c>
      <c r="E291" s="435">
        <v>300</v>
      </c>
      <c r="F291" s="325">
        <f t="shared" si="6"/>
        <v>0.53481465106909443</v>
      </c>
      <c r="G291" s="326">
        <v>560.94200000000001</v>
      </c>
      <c r="H291" s="182" t="s">
        <v>193</v>
      </c>
      <c r="I291" s="182" t="s">
        <v>2753</v>
      </c>
      <c r="J291" s="182" t="s">
        <v>98</v>
      </c>
      <c r="K291" s="438" t="s">
        <v>1902</v>
      </c>
      <c r="L291" s="182" t="s">
        <v>155</v>
      </c>
    </row>
    <row r="292" spans="1:15" s="433" customFormat="1">
      <c r="A292" s="505">
        <v>45889</v>
      </c>
      <c r="B292" s="182" t="s">
        <v>2732</v>
      </c>
      <c r="C292" s="182" t="s">
        <v>313</v>
      </c>
      <c r="D292" s="182" t="s">
        <v>117</v>
      </c>
      <c r="E292" s="435">
        <v>1500</v>
      </c>
      <c r="F292" s="325">
        <f t="shared" si="6"/>
        <v>2.6740732553454722</v>
      </c>
      <c r="G292" s="326">
        <v>560.94200000000001</v>
      </c>
      <c r="H292" s="182" t="s">
        <v>193</v>
      </c>
      <c r="I292" s="182" t="s">
        <v>2757</v>
      </c>
      <c r="J292" s="182" t="s">
        <v>98</v>
      </c>
      <c r="K292" s="438" t="s">
        <v>1902</v>
      </c>
      <c r="L292" s="182" t="s">
        <v>155</v>
      </c>
    </row>
    <row r="293" spans="1:15" s="433" customFormat="1">
      <c r="A293" s="505">
        <v>45889</v>
      </c>
      <c r="B293" s="182" t="s">
        <v>2726</v>
      </c>
      <c r="C293" s="182" t="s">
        <v>174</v>
      </c>
      <c r="D293" s="182" t="s">
        <v>117</v>
      </c>
      <c r="E293" s="435">
        <v>300</v>
      </c>
      <c r="F293" s="325">
        <f t="shared" si="6"/>
        <v>0.53481465106909443</v>
      </c>
      <c r="G293" s="326">
        <v>560.94200000000001</v>
      </c>
      <c r="H293" s="182" t="s">
        <v>193</v>
      </c>
      <c r="I293" s="182" t="s">
        <v>2753</v>
      </c>
      <c r="J293" s="182" t="s">
        <v>98</v>
      </c>
      <c r="K293" s="438" t="s">
        <v>1902</v>
      </c>
      <c r="L293" s="182" t="s">
        <v>155</v>
      </c>
    </row>
    <row r="294" spans="1:15" s="433" customFormat="1">
      <c r="A294" s="505">
        <v>45889</v>
      </c>
      <c r="B294" s="182" t="s">
        <v>2727</v>
      </c>
      <c r="C294" s="182" t="s">
        <v>174</v>
      </c>
      <c r="D294" s="182" t="s">
        <v>117</v>
      </c>
      <c r="E294" s="435">
        <v>300</v>
      </c>
      <c r="F294" s="325">
        <f t="shared" si="6"/>
        <v>0.53481465106909443</v>
      </c>
      <c r="G294" s="326">
        <v>560.94200000000001</v>
      </c>
      <c r="H294" s="182" t="s">
        <v>193</v>
      </c>
      <c r="I294" s="182" t="s">
        <v>2753</v>
      </c>
      <c r="J294" s="182" t="s">
        <v>98</v>
      </c>
      <c r="K294" s="438" t="s">
        <v>1902</v>
      </c>
      <c r="L294" s="182" t="s">
        <v>155</v>
      </c>
    </row>
    <row r="295" spans="1:15" s="546" customFormat="1">
      <c r="A295" s="505">
        <v>45889</v>
      </c>
      <c r="B295" s="182" t="s">
        <v>2873</v>
      </c>
      <c r="C295" s="182" t="s">
        <v>174</v>
      </c>
      <c r="D295" s="182" t="s">
        <v>117</v>
      </c>
      <c r="E295" s="182">
        <v>3000</v>
      </c>
      <c r="F295" s="325">
        <f t="shared" si="6"/>
        <v>5.3481465106909445</v>
      </c>
      <c r="G295" s="326">
        <v>560.94200000000001</v>
      </c>
      <c r="H295" s="182" t="s">
        <v>187</v>
      </c>
      <c r="I295" s="182" t="s">
        <v>2880</v>
      </c>
      <c r="J295" s="182" t="s">
        <v>98</v>
      </c>
      <c r="K295" s="438" t="s">
        <v>1902</v>
      </c>
      <c r="L295" s="182" t="s">
        <v>155</v>
      </c>
      <c r="M295" s="433"/>
      <c r="N295" s="433"/>
      <c r="O295" s="433"/>
    </row>
    <row r="296" spans="1:15" s="433" customFormat="1">
      <c r="A296" s="505">
        <v>45889</v>
      </c>
      <c r="B296" s="182" t="s">
        <v>2872</v>
      </c>
      <c r="C296" s="182" t="s">
        <v>174</v>
      </c>
      <c r="D296" s="182" t="s">
        <v>117</v>
      </c>
      <c r="E296" s="182">
        <v>1000</v>
      </c>
      <c r="F296" s="325">
        <f t="shared" si="6"/>
        <v>1.7827155035636482</v>
      </c>
      <c r="G296" s="326">
        <v>560.94200000000001</v>
      </c>
      <c r="H296" s="182" t="s">
        <v>187</v>
      </c>
      <c r="I296" s="182" t="s">
        <v>2880</v>
      </c>
      <c r="J296" s="182" t="s">
        <v>98</v>
      </c>
      <c r="K296" s="438" t="s">
        <v>1902</v>
      </c>
      <c r="L296" s="182" t="s">
        <v>155</v>
      </c>
    </row>
    <row r="297" spans="1:15" s="433" customFormat="1">
      <c r="A297" s="505">
        <v>45889</v>
      </c>
      <c r="B297" s="182" t="s">
        <v>2874</v>
      </c>
      <c r="C297" s="182" t="s">
        <v>174</v>
      </c>
      <c r="D297" s="182" t="s">
        <v>117</v>
      </c>
      <c r="E297" s="182">
        <v>1500</v>
      </c>
      <c r="F297" s="325">
        <f t="shared" si="6"/>
        <v>2.6740732553454722</v>
      </c>
      <c r="G297" s="326">
        <v>560.94200000000001</v>
      </c>
      <c r="H297" s="182" t="s">
        <v>187</v>
      </c>
      <c r="I297" s="182" t="s">
        <v>2880</v>
      </c>
      <c r="J297" s="182" t="s">
        <v>98</v>
      </c>
      <c r="K297" s="438" t="s">
        <v>1902</v>
      </c>
      <c r="L297" s="182" t="s">
        <v>155</v>
      </c>
    </row>
    <row r="298" spans="1:15" s="433" customFormat="1">
      <c r="A298" s="505">
        <v>45889</v>
      </c>
      <c r="B298" s="182" t="s">
        <v>2875</v>
      </c>
      <c r="C298" s="182" t="s">
        <v>174</v>
      </c>
      <c r="D298" s="182" t="s">
        <v>117</v>
      </c>
      <c r="E298" s="182">
        <v>1500</v>
      </c>
      <c r="F298" s="325">
        <f t="shared" si="6"/>
        <v>2.6740732553454722</v>
      </c>
      <c r="G298" s="326">
        <v>560.94200000000001</v>
      </c>
      <c r="H298" s="182" t="s">
        <v>187</v>
      </c>
      <c r="I298" s="182" t="s">
        <v>2880</v>
      </c>
      <c r="J298" s="182" t="s">
        <v>98</v>
      </c>
      <c r="K298" s="438" t="s">
        <v>1902</v>
      </c>
      <c r="L298" s="182" t="s">
        <v>155</v>
      </c>
    </row>
    <row r="299" spans="1:15" s="433" customFormat="1">
      <c r="A299" s="535">
        <v>45890</v>
      </c>
      <c r="B299" s="517" t="s">
        <v>2099</v>
      </c>
      <c r="C299" s="308" t="s">
        <v>174</v>
      </c>
      <c r="D299" s="308" t="s">
        <v>119</v>
      </c>
      <c r="E299" s="517">
        <v>1000</v>
      </c>
      <c r="F299" s="325">
        <f t="shared" si="6"/>
        <v>1.7827155035636482</v>
      </c>
      <c r="G299" s="326">
        <v>560.94200000000001</v>
      </c>
      <c r="H299" s="524" t="s">
        <v>153</v>
      </c>
      <c r="I299" s="525" t="s">
        <v>2494</v>
      </c>
      <c r="J299" s="182" t="s">
        <v>98</v>
      </c>
      <c r="K299" s="438" t="s">
        <v>1902</v>
      </c>
      <c r="L299" s="182" t="s">
        <v>155</v>
      </c>
      <c r="M299" s="550"/>
      <c r="N299" s="550"/>
      <c r="O299" s="550"/>
    </row>
    <row r="300" spans="1:15" s="433" customFormat="1">
      <c r="A300" s="535">
        <v>45890</v>
      </c>
      <c r="B300" s="517" t="s">
        <v>2100</v>
      </c>
      <c r="C300" s="308" t="s">
        <v>174</v>
      </c>
      <c r="D300" s="308" t="s">
        <v>119</v>
      </c>
      <c r="E300" s="517">
        <v>1000</v>
      </c>
      <c r="F300" s="325">
        <f t="shared" si="6"/>
        <v>1.7827155035636482</v>
      </c>
      <c r="G300" s="326">
        <v>560.94200000000001</v>
      </c>
      <c r="H300" s="524" t="s">
        <v>153</v>
      </c>
      <c r="I300" s="525" t="s">
        <v>2494</v>
      </c>
      <c r="J300" s="182" t="s">
        <v>98</v>
      </c>
      <c r="K300" s="438" t="s">
        <v>1902</v>
      </c>
      <c r="L300" s="182" t="s">
        <v>155</v>
      </c>
      <c r="M300" s="550"/>
      <c r="N300" s="550"/>
      <c r="O300" s="550"/>
    </row>
    <row r="301" spans="1:15" s="433" customFormat="1">
      <c r="A301" s="504">
        <v>45890</v>
      </c>
      <c r="B301" s="182" t="s">
        <v>2153</v>
      </c>
      <c r="C301" s="182" t="s">
        <v>174</v>
      </c>
      <c r="D301" s="182" t="s">
        <v>118</v>
      </c>
      <c r="E301" s="435">
        <v>1000</v>
      </c>
      <c r="F301" s="325">
        <f t="shared" si="6"/>
        <v>1.7827155035636482</v>
      </c>
      <c r="G301" s="326">
        <v>560.94200000000001</v>
      </c>
      <c r="H301" s="182" t="s">
        <v>583</v>
      </c>
      <c r="I301" s="182" t="s">
        <v>2536</v>
      </c>
      <c r="J301" s="182" t="s">
        <v>98</v>
      </c>
      <c r="K301" s="438" t="s">
        <v>1902</v>
      </c>
      <c r="L301" s="182" t="s">
        <v>155</v>
      </c>
      <c r="M301" s="550"/>
      <c r="N301" s="550"/>
      <c r="O301" s="550"/>
    </row>
    <row r="302" spans="1:15" s="433" customFormat="1">
      <c r="A302" s="504">
        <v>45890</v>
      </c>
      <c r="B302" s="182" t="s">
        <v>2154</v>
      </c>
      <c r="C302" s="182" t="s">
        <v>174</v>
      </c>
      <c r="D302" s="182" t="s">
        <v>118</v>
      </c>
      <c r="E302" s="435">
        <v>1000</v>
      </c>
      <c r="F302" s="325">
        <f t="shared" si="6"/>
        <v>1.7827155035636482</v>
      </c>
      <c r="G302" s="326">
        <v>560.94200000000001</v>
      </c>
      <c r="H302" s="182" t="s">
        <v>583</v>
      </c>
      <c r="I302" s="182" t="s">
        <v>2536</v>
      </c>
      <c r="J302" s="182" t="s">
        <v>98</v>
      </c>
      <c r="K302" s="438" t="s">
        <v>1902</v>
      </c>
      <c r="L302" s="182" t="s">
        <v>155</v>
      </c>
      <c r="M302" s="550"/>
      <c r="N302" s="550"/>
      <c r="O302" s="550"/>
    </row>
    <row r="303" spans="1:15" s="433" customFormat="1">
      <c r="A303" s="467">
        <v>45890</v>
      </c>
      <c r="B303" s="177" t="s">
        <v>3041</v>
      </c>
      <c r="C303" s="177" t="s">
        <v>174</v>
      </c>
      <c r="D303" s="177" t="s">
        <v>121</v>
      </c>
      <c r="E303" s="177">
        <v>1000</v>
      </c>
      <c r="F303" s="325">
        <f t="shared" si="6"/>
        <v>1.7827155035636482</v>
      </c>
      <c r="G303" s="326">
        <v>560.94200000000001</v>
      </c>
      <c r="H303" s="177" t="s">
        <v>184</v>
      </c>
      <c r="I303" s="177" t="s">
        <v>2558</v>
      </c>
      <c r="J303" s="182" t="s">
        <v>98</v>
      </c>
      <c r="K303" s="438" t="s">
        <v>1902</v>
      </c>
      <c r="L303" s="182" t="s">
        <v>155</v>
      </c>
    </row>
    <row r="304" spans="1:15" s="433" customFormat="1">
      <c r="A304" s="467">
        <v>45890</v>
      </c>
      <c r="B304" s="177" t="s">
        <v>3041</v>
      </c>
      <c r="C304" s="177" t="s">
        <v>174</v>
      </c>
      <c r="D304" s="177" t="s">
        <v>121</v>
      </c>
      <c r="E304" s="177">
        <v>1000</v>
      </c>
      <c r="F304" s="325">
        <f t="shared" si="6"/>
        <v>1.7827155035636482</v>
      </c>
      <c r="G304" s="326">
        <v>560.94200000000001</v>
      </c>
      <c r="H304" s="177" t="s">
        <v>184</v>
      </c>
      <c r="I304" s="177" t="s">
        <v>2558</v>
      </c>
      <c r="J304" s="182" t="s">
        <v>98</v>
      </c>
      <c r="K304" s="438" t="s">
        <v>1902</v>
      </c>
      <c r="L304" s="182" t="s">
        <v>155</v>
      </c>
    </row>
    <row r="305" spans="1:12" s="433" customFormat="1">
      <c r="A305" s="467">
        <v>45890</v>
      </c>
      <c r="B305" s="177" t="s">
        <v>3036</v>
      </c>
      <c r="C305" s="177" t="s">
        <v>174</v>
      </c>
      <c r="D305" s="177" t="s">
        <v>121</v>
      </c>
      <c r="E305" s="177">
        <v>500</v>
      </c>
      <c r="F305" s="325">
        <f t="shared" si="6"/>
        <v>0.89135775178182408</v>
      </c>
      <c r="G305" s="326">
        <v>560.94200000000001</v>
      </c>
      <c r="H305" s="177" t="s">
        <v>184</v>
      </c>
      <c r="I305" s="177" t="s">
        <v>2558</v>
      </c>
      <c r="J305" s="182" t="s">
        <v>98</v>
      </c>
      <c r="K305" s="438" t="s">
        <v>1902</v>
      </c>
      <c r="L305" s="182" t="s">
        <v>155</v>
      </c>
    </row>
    <row r="306" spans="1:12" s="433" customFormat="1">
      <c r="A306" s="467">
        <v>45890</v>
      </c>
      <c r="B306" s="177" t="s">
        <v>3041</v>
      </c>
      <c r="C306" s="177" t="s">
        <v>174</v>
      </c>
      <c r="D306" s="177" t="s">
        <v>121</v>
      </c>
      <c r="E306" s="177">
        <v>1000</v>
      </c>
      <c r="F306" s="325">
        <f t="shared" si="6"/>
        <v>1.7827155035636482</v>
      </c>
      <c r="G306" s="326">
        <v>560.94200000000001</v>
      </c>
      <c r="H306" s="177" t="s">
        <v>184</v>
      </c>
      <c r="I306" s="177" t="s">
        <v>2558</v>
      </c>
      <c r="J306" s="182" t="s">
        <v>98</v>
      </c>
      <c r="K306" s="438" t="s">
        <v>1902</v>
      </c>
      <c r="L306" s="182" t="s">
        <v>155</v>
      </c>
    </row>
    <row r="307" spans="1:12" s="433" customFormat="1">
      <c r="A307" s="505">
        <v>45890</v>
      </c>
      <c r="B307" s="182" t="s">
        <v>3009</v>
      </c>
      <c r="C307" s="182" t="s">
        <v>174</v>
      </c>
      <c r="D307" s="177" t="s">
        <v>121</v>
      </c>
      <c r="E307" s="182">
        <v>500</v>
      </c>
      <c r="F307" s="325">
        <f t="shared" si="6"/>
        <v>0.89135775178182408</v>
      </c>
      <c r="G307" s="326">
        <v>560.94200000000001</v>
      </c>
      <c r="H307" s="182" t="s">
        <v>175</v>
      </c>
      <c r="I307" s="182" t="s">
        <v>2588</v>
      </c>
      <c r="J307" s="182" t="s">
        <v>98</v>
      </c>
      <c r="K307" s="438" t="s">
        <v>1902</v>
      </c>
      <c r="L307" s="182" t="s">
        <v>155</v>
      </c>
    </row>
    <row r="308" spans="1:12" s="433" customFormat="1">
      <c r="A308" s="505">
        <v>45890</v>
      </c>
      <c r="B308" s="182" t="s">
        <v>3008</v>
      </c>
      <c r="C308" s="182" t="s">
        <v>174</v>
      </c>
      <c r="D308" s="177" t="s">
        <v>121</v>
      </c>
      <c r="E308" s="182">
        <v>500</v>
      </c>
      <c r="F308" s="325">
        <f t="shared" si="6"/>
        <v>0.89135775178182408</v>
      </c>
      <c r="G308" s="326">
        <v>560.94200000000001</v>
      </c>
      <c r="H308" s="182" t="s">
        <v>175</v>
      </c>
      <c r="I308" s="182" t="s">
        <v>2588</v>
      </c>
      <c r="J308" s="182" t="s">
        <v>98</v>
      </c>
      <c r="K308" s="438" t="s">
        <v>1902</v>
      </c>
      <c r="L308" s="182" t="s">
        <v>155</v>
      </c>
    </row>
    <row r="309" spans="1:12" s="433" customFormat="1">
      <c r="A309" s="505">
        <v>45890</v>
      </c>
      <c r="B309" s="182" t="s">
        <v>3067</v>
      </c>
      <c r="C309" s="182" t="s">
        <v>177</v>
      </c>
      <c r="D309" s="182" t="s">
        <v>121</v>
      </c>
      <c r="E309" s="182">
        <v>30000</v>
      </c>
      <c r="F309" s="325">
        <f t="shared" si="6"/>
        <v>53.481465106909447</v>
      </c>
      <c r="G309" s="326">
        <v>560.94200000000001</v>
      </c>
      <c r="H309" s="182" t="s">
        <v>317</v>
      </c>
      <c r="I309" s="182" t="s">
        <v>2641</v>
      </c>
      <c r="J309" s="182" t="s">
        <v>98</v>
      </c>
      <c r="K309" s="438" t="s">
        <v>1902</v>
      </c>
      <c r="L309" s="182" t="s">
        <v>155</v>
      </c>
    </row>
    <row r="310" spans="1:12" s="433" customFormat="1">
      <c r="A310" s="505">
        <v>45890</v>
      </c>
      <c r="B310" s="182" t="s">
        <v>3037</v>
      </c>
      <c r="C310" s="182" t="s">
        <v>174</v>
      </c>
      <c r="D310" s="182" t="s">
        <v>121</v>
      </c>
      <c r="E310" s="182">
        <v>500</v>
      </c>
      <c r="F310" s="325">
        <f t="shared" si="6"/>
        <v>0.89135775178182408</v>
      </c>
      <c r="G310" s="326">
        <v>560.94200000000001</v>
      </c>
      <c r="H310" s="182" t="s">
        <v>317</v>
      </c>
      <c r="I310" s="182" t="s">
        <v>2632</v>
      </c>
      <c r="J310" s="182" t="s">
        <v>98</v>
      </c>
      <c r="K310" s="438" t="s">
        <v>1902</v>
      </c>
      <c r="L310" s="182" t="s">
        <v>155</v>
      </c>
    </row>
    <row r="311" spans="1:12" s="433" customFormat="1">
      <c r="A311" s="505">
        <v>45890</v>
      </c>
      <c r="B311" s="182" t="s">
        <v>3066</v>
      </c>
      <c r="C311" s="182" t="s">
        <v>174</v>
      </c>
      <c r="D311" s="182" t="s">
        <v>121</v>
      </c>
      <c r="E311" s="182">
        <v>4000</v>
      </c>
      <c r="F311" s="325">
        <f t="shared" si="6"/>
        <v>7.1308620142545927</v>
      </c>
      <c r="G311" s="326">
        <v>560.94200000000001</v>
      </c>
      <c r="H311" s="182" t="s">
        <v>317</v>
      </c>
      <c r="I311" s="182" t="s">
        <v>2642</v>
      </c>
      <c r="J311" s="182" t="s">
        <v>98</v>
      </c>
      <c r="K311" s="438" t="s">
        <v>1902</v>
      </c>
      <c r="L311" s="182" t="s">
        <v>155</v>
      </c>
    </row>
    <row r="312" spans="1:12" s="433" customFormat="1">
      <c r="A312" s="505">
        <v>45890</v>
      </c>
      <c r="B312" s="182" t="s">
        <v>3037</v>
      </c>
      <c r="C312" s="182" t="s">
        <v>174</v>
      </c>
      <c r="D312" s="182" t="s">
        <v>121</v>
      </c>
      <c r="E312" s="182">
        <v>500</v>
      </c>
      <c r="F312" s="325">
        <f t="shared" si="6"/>
        <v>0.89135775178182408</v>
      </c>
      <c r="G312" s="326">
        <v>560.94200000000001</v>
      </c>
      <c r="H312" s="182" t="s">
        <v>317</v>
      </c>
      <c r="I312" s="182" t="s">
        <v>2632</v>
      </c>
      <c r="J312" s="182" t="s">
        <v>98</v>
      </c>
      <c r="K312" s="438" t="s">
        <v>1902</v>
      </c>
      <c r="L312" s="182" t="s">
        <v>155</v>
      </c>
    </row>
    <row r="313" spans="1:12" s="433" customFormat="1">
      <c r="A313" s="505">
        <v>45890</v>
      </c>
      <c r="B313" s="182" t="s">
        <v>3037</v>
      </c>
      <c r="C313" s="182" t="s">
        <v>174</v>
      </c>
      <c r="D313" s="182" t="s">
        <v>121</v>
      </c>
      <c r="E313" s="182">
        <v>500</v>
      </c>
      <c r="F313" s="325">
        <f t="shared" si="6"/>
        <v>0.89135775178182408</v>
      </c>
      <c r="G313" s="326">
        <v>560.94200000000001</v>
      </c>
      <c r="H313" s="182" t="s">
        <v>317</v>
      </c>
      <c r="I313" s="182" t="s">
        <v>2632</v>
      </c>
      <c r="J313" s="182" t="s">
        <v>98</v>
      </c>
      <c r="K313" s="438" t="s">
        <v>1902</v>
      </c>
      <c r="L313" s="182" t="s">
        <v>155</v>
      </c>
    </row>
    <row r="314" spans="1:12" s="433" customFormat="1">
      <c r="A314" s="505">
        <v>45890</v>
      </c>
      <c r="B314" s="182" t="s">
        <v>3042</v>
      </c>
      <c r="C314" s="182" t="s">
        <v>174</v>
      </c>
      <c r="D314" s="182" t="s">
        <v>121</v>
      </c>
      <c r="E314" s="182">
        <v>500</v>
      </c>
      <c r="F314" s="325">
        <f t="shared" si="6"/>
        <v>0.89135775178182408</v>
      </c>
      <c r="G314" s="326">
        <v>560.94200000000001</v>
      </c>
      <c r="H314" s="182" t="s">
        <v>317</v>
      </c>
      <c r="I314" s="182" t="s">
        <v>2632</v>
      </c>
      <c r="J314" s="182" t="s">
        <v>98</v>
      </c>
      <c r="K314" s="438" t="s">
        <v>1902</v>
      </c>
      <c r="L314" s="182" t="s">
        <v>155</v>
      </c>
    </row>
    <row r="315" spans="1:12" s="433" customFormat="1">
      <c r="A315" s="505">
        <v>45890</v>
      </c>
      <c r="B315" s="182" t="s">
        <v>3037</v>
      </c>
      <c r="C315" s="182" t="s">
        <v>174</v>
      </c>
      <c r="D315" s="182" t="s">
        <v>121</v>
      </c>
      <c r="E315" s="182">
        <v>500</v>
      </c>
      <c r="F315" s="325">
        <f t="shared" si="6"/>
        <v>0.89135775178182408</v>
      </c>
      <c r="G315" s="326">
        <v>560.94200000000001</v>
      </c>
      <c r="H315" s="182" t="s">
        <v>317</v>
      </c>
      <c r="I315" s="182" t="s">
        <v>2632</v>
      </c>
      <c r="J315" s="182" t="s">
        <v>98</v>
      </c>
      <c r="K315" s="438" t="s">
        <v>1902</v>
      </c>
      <c r="L315" s="182" t="s">
        <v>155</v>
      </c>
    </row>
    <row r="316" spans="1:12" s="433" customFormat="1">
      <c r="A316" s="505">
        <v>45890</v>
      </c>
      <c r="B316" s="182" t="s">
        <v>3060</v>
      </c>
      <c r="C316" s="182" t="s">
        <v>174</v>
      </c>
      <c r="D316" s="182" t="s">
        <v>121</v>
      </c>
      <c r="E316" s="496">
        <v>1000</v>
      </c>
      <c r="F316" s="325">
        <f t="shared" si="6"/>
        <v>1.7827155035636482</v>
      </c>
      <c r="G316" s="326">
        <v>560.94200000000001</v>
      </c>
      <c r="H316" s="182" t="s">
        <v>323</v>
      </c>
      <c r="I316" s="182" t="s">
        <v>2671</v>
      </c>
      <c r="J316" s="182" t="s">
        <v>98</v>
      </c>
      <c r="K316" s="438" t="s">
        <v>1902</v>
      </c>
      <c r="L316" s="182" t="s">
        <v>155</v>
      </c>
    </row>
    <row r="317" spans="1:12" s="433" customFormat="1">
      <c r="A317" s="505">
        <v>45890</v>
      </c>
      <c r="B317" s="182" t="s">
        <v>2664</v>
      </c>
      <c r="C317" s="182" t="s">
        <v>368</v>
      </c>
      <c r="D317" s="182" t="s">
        <v>121</v>
      </c>
      <c r="E317" s="496">
        <v>1000</v>
      </c>
      <c r="F317" s="325">
        <f t="shared" si="6"/>
        <v>1.7827155035636482</v>
      </c>
      <c r="G317" s="326">
        <v>560.94200000000001</v>
      </c>
      <c r="H317" s="182" t="s">
        <v>323</v>
      </c>
      <c r="I317" s="182" t="s">
        <v>2678</v>
      </c>
      <c r="J317" s="182" t="s">
        <v>98</v>
      </c>
      <c r="K317" s="438" t="s">
        <v>1902</v>
      </c>
      <c r="L317" s="182" t="s">
        <v>155</v>
      </c>
    </row>
    <row r="318" spans="1:12" s="433" customFormat="1">
      <c r="A318" s="505">
        <v>45890</v>
      </c>
      <c r="B318" s="182" t="s">
        <v>3060</v>
      </c>
      <c r="C318" s="182" t="s">
        <v>174</v>
      </c>
      <c r="D318" s="182" t="s">
        <v>121</v>
      </c>
      <c r="E318" s="496">
        <v>1000</v>
      </c>
      <c r="F318" s="325">
        <f t="shared" si="6"/>
        <v>1.7827155035636482</v>
      </c>
      <c r="G318" s="326">
        <v>560.94200000000001</v>
      </c>
      <c r="H318" s="182" t="s">
        <v>323</v>
      </c>
      <c r="I318" s="182" t="s">
        <v>2671</v>
      </c>
      <c r="J318" s="182" t="s">
        <v>98</v>
      </c>
      <c r="K318" s="438" t="s">
        <v>1902</v>
      </c>
      <c r="L318" s="182" t="s">
        <v>155</v>
      </c>
    </row>
    <row r="319" spans="1:12" s="433" customFormat="1">
      <c r="A319" s="505">
        <v>45890</v>
      </c>
      <c r="B319" s="182" t="s">
        <v>3052</v>
      </c>
      <c r="C319" s="182" t="s">
        <v>174</v>
      </c>
      <c r="D319" s="182" t="s">
        <v>121</v>
      </c>
      <c r="E319" s="496">
        <v>1000</v>
      </c>
      <c r="F319" s="325">
        <f t="shared" si="6"/>
        <v>1.7827155035636482</v>
      </c>
      <c r="G319" s="326">
        <v>560.94200000000001</v>
      </c>
      <c r="H319" s="182" t="s">
        <v>323</v>
      </c>
      <c r="I319" s="182" t="s">
        <v>2671</v>
      </c>
      <c r="J319" s="182" t="s">
        <v>98</v>
      </c>
      <c r="K319" s="438" t="s">
        <v>1902</v>
      </c>
      <c r="L319" s="182" t="s">
        <v>155</v>
      </c>
    </row>
    <row r="320" spans="1:12" s="433" customFormat="1">
      <c r="A320" s="505">
        <v>45890</v>
      </c>
      <c r="B320" s="182" t="s">
        <v>2698</v>
      </c>
      <c r="C320" s="182" t="s">
        <v>174</v>
      </c>
      <c r="D320" s="182" t="s">
        <v>117</v>
      </c>
      <c r="E320" s="435">
        <v>1000</v>
      </c>
      <c r="F320" s="325">
        <f t="shared" si="6"/>
        <v>1.7827155035636482</v>
      </c>
      <c r="G320" s="326">
        <v>560.94200000000001</v>
      </c>
      <c r="H320" s="182" t="s">
        <v>190</v>
      </c>
      <c r="I320" s="182" t="s">
        <v>2707</v>
      </c>
      <c r="J320" s="182" t="s">
        <v>98</v>
      </c>
      <c r="K320" s="438" t="s">
        <v>1902</v>
      </c>
      <c r="L320" s="182" t="s">
        <v>155</v>
      </c>
    </row>
    <row r="321" spans="1:15" s="433" customFormat="1">
      <c r="A321" s="505">
        <v>45890</v>
      </c>
      <c r="B321" s="182" t="s">
        <v>2699</v>
      </c>
      <c r="C321" s="182" t="s">
        <v>313</v>
      </c>
      <c r="D321" s="182" t="s">
        <v>117</v>
      </c>
      <c r="E321" s="435">
        <v>7500</v>
      </c>
      <c r="F321" s="325">
        <f t="shared" si="6"/>
        <v>13.370366276727362</v>
      </c>
      <c r="G321" s="326">
        <v>560.94200000000001</v>
      </c>
      <c r="H321" s="182" t="s">
        <v>190</v>
      </c>
      <c r="I321" s="182" t="s">
        <v>2713</v>
      </c>
      <c r="J321" s="182" t="s">
        <v>98</v>
      </c>
      <c r="K321" s="438" t="s">
        <v>1902</v>
      </c>
      <c r="L321" s="182" t="s">
        <v>155</v>
      </c>
    </row>
    <row r="322" spans="1:15" s="433" customFormat="1">
      <c r="A322" s="505">
        <v>45890</v>
      </c>
      <c r="B322" s="182" t="s">
        <v>2697</v>
      </c>
      <c r="C322" s="182" t="s">
        <v>174</v>
      </c>
      <c r="D322" s="182" t="s">
        <v>117</v>
      </c>
      <c r="E322" s="435">
        <v>1000</v>
      </c>
      <c r="F322" s="325">
        <f t="shared" si="6"/>
        <v>1.7827155035636482</v>
      </c>
      <c r="G322" s="326">
        <v>560.94200000000001</v>
      </c>
      <c r="H322" s="182" t="s">
        <v>190</v>
      </c>
      <c r="I322" s="182" t="s">
        <v>2707</v>
      </c>
      <c r="J322" s="182" t="s">
        <v>98</v>
      </c>
      <c r="K322" s="438" t="s">
        <v>1902</v>
      </c>
      <c r="L322" s="182" t="s">
        <v>155</v>
      </c>
    </row>
    <row r="323" spans="1:15" s="433" customFormat="1">
      <c r="A323" s="505">
        <v>45890</v>
      </c>
      <c r="B323" s="182" t="s">
        <v>2698</v>
      </c>
      <c r="C323" s="182" t="s">
        <v>174</v>
      </c>
      <c r="D323" s="182" t="s">
        <v>117</v>
      </c>
      <c r="E323" s="435">
        <v>1000</v>
      </c>
      <c r="F323" s="325">
        <f t="shared" si="6"/>
        <v>1.7827155035636482</v>
      </c>
      <c r="G323" s="326">
        <v>560.94200000000001</v>
      </c>
      <c r="H323" s="182" t="s">
        <v>190</v>
      </c>
      <c r="I323" s="182" t="s">
        <v>2707</v>
      </c>
      <c r="J323" s="182" t="s">
        <v>98</v>
      </c>
      <c r="K323" s="438" t="s">
        <v>1902</v>
      </c>
      <c r="L323" s="182" t="s">
        <v>155</v>
      </c>
    </row>
    <row r="324" spans="1:15" s="433" customFormat="1">
      <c r="A324" s="505">
        <v>45890</v>
      </c>
      <c r="B324" s="182" t="s">
        <v>2700</v>
      </c>
      <c r="C324" s="182" t="s">
        <v>313</v>
      </c>
      <c r="D324" s="182" t="s">
        <v>117</v>
      </c>
      <c r="E324" s="435">
        <v>7500</v>
      </c>
      <c r="F324" s="325">
        <f t="shared" si="6"/>
        <v>13.370366276727362</v>
      </c>
      <c r="G324" s="326">
        <v>560.94200000000001</v>
      </c>
      <c r="H324" s="182" t="s">
        <v>190</v>
      </c>
      <c r="I324" s="182" t="s">
        <v>2713</v>
      </c>
      <c r="J324" s="182" t="s">
        <v>98</v>
      </c>
      <c r="K324" s="438" t="s">
        <v>1902</v>
      </c>
      <c r="L324" s="182" t="s">
        <v>155</v>
      </c>
    </row>
    <row r="325" spans="1:15" s="433" customFormat="1">
      <c r="A325" s="505">
        <v>45890</v>
      </c>
      <c r="B325" s="182" t="s">
        <v>2701</v>
      </c>
      <c r="C325" s="182" t="s">
        <v>174</v>
      </c>
      <c r="D325" s="182" t="s">
        <v>117</v>
      </c>
      <c r="E325" s="435">
        <v>1000</v>
      </c>
      <c r="F325" s="325">
        <f t="shared" si="6"/>
        <v>1.7827155035636482</v>
      </c>
      <c r="G325" s="326">
        <v>560.94200000000001</v>
      </c>
      <c r="H325" s="182" t="s">
        <v>190</v>
      </c>
      <c r="I325" s="182" t="s">
        <v>2707</v>
      </c>
      <c r="J325" s="182" t="s">
        <v>98</v>
      </c>
      <c r="K325" s="438" t="s">
        <v>1902</v>
      </c>
      <c r="L325" s="182" t="s">
        <v>155</v>
      </c>
    </row>
    <row r="326" spans="1:15" s="433" customFormat="1">
      <c r="A326" s="505">
        <v>45890</v>
      </c>
      <c r="B326" s="182" t="s">
        <v>2693</v>
      </c>
      <c r="C326" s="182" t="s">
        <v>174</v>
      </c>
      <c r="D326" s="182" t="s">
        <v>117</v>
      </c>
      <c r="E326" s="435">
        <v>1000</v>
      </c>
      <c r="F326" s="325">
        <f t="shared" si="6"/>
        <v>1.7827155035636482</v>
      </c>
      <c r="G326" s="326">
        <v>560.94200000000001</v>
      </c>
      <c r="H326" s="182" t="s">
        <v>190</v>
      </c>
      <c r="I326" s="182" t="s">
        <v>2707</v>
      </c>
      <c r="J326" s="182" t="s">
        <v>98</v>
      </c>
      <c r="K326" s="438" t="s">
        <v>1902</v>
      </c>
      <c r="L326" s="182" t="s">
        <v>155</v>
      </c>
    </row>
    <row r="327" spans="1:15" s="433" customFormat="1">
      <c r="A327" s="505">
        <v>45890</v>
      </c>
      <c r="B327" s="182" t="s">
        <v>2733</v>
      </c>
      <c r="C327" s="182" t="s">
        <v>177</v>
      </c>
      <c r="D327" s="182" t="s">
        <v>117</v>
      </c>
      <c r="E327" s="435">
        <v>30000</v>
      </c>
      <c r="F327" s="325">
        <f t="shared" si="6"/>
        <v>53.481465106909447</v>
      </c>
      <c r="G327" s="326">
        <v>560.94200000000001</v>
      </c>
      <c r="H327" s="182" t="s">
        <v>193</v>
      </c>
      <c r="I327" s="182" t="s">
        <v>2759</v>
      </c>
      <c r="J327" s="182" t="s">
        <v>98</v>
      </c>
      <c r="K327" s="438" t="s">
        <v>1902</v>
      </c>
      <c r="L327" s="182" t="s">
        <v>155</v>
      </c>
    </row>
    <row r="328" spans="1:15" s="433" customFormat="1">
      <c r="A328" s="505">
        <v>45890</v>
      </c>
      <c r="B328" s="182" t="s">
        <v>2734</v>
      </c>
      <c r="C328" s="182" t="s">
        <v>174</v>
      </c>
      <c r="D328" s="182" t="s">
        <v>117</v>
      </c>
      <c r="E328" s="435">
        <v>500</v>
      </c>
      <c r="F328" s="325">
        <f t="shared" si="6"/>
        <v>0.89135775178182408</v>
      </c>
      <c r="G328" s="326">
        <v>560.94200000000001</v>
      </c>
      <c r="H328" s="182" t="s">
        <v>193</v>
      </c>
      <c r="I328" s="182" t="s">
        <v>2753</v>
      </c>
      <c r="J328" s="182" t="s">
        <v>98</v>
      </c>
      <c r="K328" s="438" t="s">
        <v>1902</v>
      </c>
      <c r="L328" s="182" t="s">
        <v>155</v>
      </c>
    </row>
    <row r="329" spans="1:15" s="433" customFormat="1">
      <c r="A329" s="505">
        <v>45890</v>
      </c>
      <c r="B329" s="182" t="s">
        <v>2735</v>
      </c>
      <c r="C329" s="379" t="s">
        <v>174</v>
      </c>
      <c r="D329" s="182" t="s">
        <v>117</v>
      </c>
      <c r="E329" s="435">
        <v>5000</v>
      </c>
      <c r="F329" s="325">
        <f t="shared" si="6"/>
        <v>8.9135775178182417</v>
      </c>
      <c r="G329" s="326">
        <v>560.94200000000001</v>
      </c>
      <c r="H329" s="182" t="s">
        <v>193</v>
      </c>
      <c r="I329" s="182" t="s">
        <v>2760</v>
      </c>
      <c r="J329" s="182" t="s">
        <v>98</v>
      </c>
      <c r="K329" s="438" t="s">
        <v>1902</v>
      </c>
      <c r="L329" s="182" t="s">
        <v>155</v>
      </c>
    </row>
    <row r="330" spans="1:15" s="433" customFormat="1">
      <c r="A330" s="505">
        <v>45890</v>
      </c>
      <c r="B330" s="182" t="s">
        <v>2736</v>
      </c>
      <c r="C330" s="182" t="s">
        <v>174</v>
      </c>
      <c r="D330" s="182" t="s">
        <v>117</v>
      </c>
      <c r="E330" s="435">
        <v>7000</v>
      </c>
      <c r="F330" s="325">
        <f t="shared" si="6"/>
        <v>12.479008524945538</v>
      </c>
      <c r="G330" s="326">
        <v>560.94200000000001</v>
      </c>
      <c r="H330" s="182" t="s">
        <v>193</v>
      </c>
      <c r="I330" s="182" t="s">
        <v>2761</v>
      </c>
      <c r="J330" s="182" t="s">
        <v>98</v>
      </c>
      <c r="K330" s="438" t="s">
        <v>1902</v>
      </c>
      <c r="L330" s="182" t="s">
        <v>155</v>
      </c>
    </row>
    <row r="331" spans="1:15" s="433" customFormat="1">
      <c r="A331" s="505">
        <v>45890</v>
      </c>
      <c r="B331" s="182" t="s">
        <v>2737</v>
      </c>
      <c r="C331" s="182" t="s">
        <v>174</v>
      </c>
      <c r="D331" s="182" t="s">
        <v>117</v>
      </c>
      <c r="E331" s="435">
        <v>1000</v>
      </c>
      <c r="F331" s="325">
        <f t="shared" si="6"/>
        <v>1.7827155035636482</v>
      </c>
      <c r="G331" s="326">
        <v>560.94200000000001</v>
      </c>
      <c r="H331" s="182" t="s">
        <v>193</v>
      </c>
      <c r="I331" s="182" t="s">
        <v>2753</v>
      </c>
      <c r="J331" s="182" t="s">
        <v>98</v>
      </c>
      <c r="K331" s="438" t="s">
        <v>1902</v>
      </c>
      <c r="L331" s="182" t="s">
        <v>155</v>
      </c>
    </row>
    <row r="332" spans="1:15" s="433" customFormat="1">
      <c r="A332" s="505">
        <v>45891</v>
      </c>
      <c r="B332" s="182" t="s">
        <v>1069</v>
      </c>
      <c r="C332" s="182" t="s">
        <v>174</v>
      </c>
      <c r="D332" s="182" t="s">
        <v>117</v>
      </c>
      <c r="E332" s="435">
        <v>8000</v>
      </c>
      <c r="F332" s="325">
        <f t="shared" si="6"/>
        <v>14.261724028509185</v>
      </c>
      <c r="G332" s="326">
        <v>560.94200000000001</v>
      </c>
      <c r="H332" s="182" t="s">
        <v>190</v>
      </c>
      <c r="I332" s="182" t="s">
        <v>2714</v>
      </c>
      <c r="J332" s="182" t="s">
        <v>98</v>
      </c>
      <c r="K332" s="438" t="s">
        <v>1902</v>
      </c>
      <c r="L332" s="182" t="s">
        <v>155</v>
      </c>
    </row>
    <row r="333" spans="1:15" s="433" customFormat="1">
      <c r="A333" s="535">
        <v>45891</v>
      </c>
      <c r="B333" s="517" t="s">
        <v>2099</v>
      </c>
      <c r="C333" s="308" t="s">
        <v>174</v>
      </c>
      <c r="D333" s="308" t="s">
        <v>119</v>
      </c>
      <c r="E333" s="517">
        <v>1000</v>
      </c>
      <c r="F333" s="325">
        <f t="shared" si="6"/>
        <v>1.7827155035636482</v>
      </c>
      <c r="G333" s="326">
        <v>560.94200000000001</v>
      </c>
      <c r="H333" s="524" t="s">
        <v>153</v>
      </c>
      <c r="I333" s="525" t="s">
        <v>2494</v>
      </c>
      <c r="J333" s="182" t="s">
        <v>98</v>
      </c>
      <c r="K333" s="438" t="s">
        <v>1902</v>
      </c>
      <c r="L333" s="182" t="s">
        <v>155</v>
      </c>
      <c r="M333" s="550"/>
      <c r="N333" s="550"/>
      <c r="O333" s="550"/>
    </row>
    <row r="334" spans="1:15" s="433" customFormat="1">
      <c r="A334" s="535">
        <v>45891</v>
      </c>
      <c r="B334" s="517" t="s">
        <v>2446</v>
      </c>
      <c r="C334" s="308" t="s">
        <v>174</v>
      </c>
      <c r="D334" s="308" t="s">
        <v>119</v>
      </c>
      <c r="E334" s="517">
        <v>1000</v>
      </c>
      <c r="F334" s="325">
        <f t="shared" si="6"/>
        <v>1.7827155035636482</v>
      </c>
      <c r="G334" s="326">
        <v>560.94200000000001</v>
      </c>
      <c r="H334" s="524" t="s">
        <v>153</v>
      </c>
      <c r="I334" s="525" t="s">
        <v>2494</v>
      </c>
      <c r="J334" s="182" t="s">
        <v>98</v>
      </c>
      <c r="K334" s="438" t="s">
        <v>1902</v>
      </c>
      <c r="L334" s="182" t="s">
        <v>155</v>
      </c>
      <c r="M334" s="550"/>
      <c r="N334" s="550"/>
      <c r="O334" s="550"/>
    </row>
    <row r="335" spans="1:15" s="433" customFormat="1">
      <c r="A335" s="536">
        <v>45891</v>
      </c>
      <c r="B335" s="516" t="s">
        <v>2466</v>
      </c>
      <c r="C335" s="516" t="s">
        <v>174</v>
      </c>
      <c r="D335" s="516" t="s">
        <v>117</v>
      </c>
      <c r="E335" s="526">
        <v>500</v>
      </c>
      <c r="F335" s="325">
        <f t="shared" ref="F335:F398" si="7">E335/G335</f>
        <v>0.89135775178182408</v>
      </c>
      <c r="G335" s="326">
        <v>560.94200000000001</v>
      </c>
      <c r="H335" s="177" t="s">
        <v>200</v>
      </c>
      <c r="I335" s="516" t="s">
        <v>2489</v>
      </c>
      <c r="J335" s="182" t="s">
        <v>98</v>
      </c>
      <c r="K335" s="438" t="s">
        <v>1902</v>
      </c>
      <c r="L335" s="182" t="s">
        <v>155</v>
      </c>
      <c r="M335" s="550"/>
      <c r="N335" s="550"/>
      <c r="O335" s="315"/>
    </row>
    <row r="336" spans="1:15" s="433" customFormat="1">
      <c r="A336" s="536">
        <v>45891</v>
      </c>
      <c r="B336" s="516" t="s">
        <v>2467</v>
      </c>
      <c r="C336" s="516" t="s">
        <v>174</v>
      </c>
      <c r="D336" s="516" t="s">
        <v>117</v>
      </c>
      <c r="E336" s="526">
        <v>500</v>
      </c>
      <c r="F336" s="325">
        <f t="shared" si="7"/>
        <v>0.89135775178182408</v>
      </c>
      <c r="G336" s="326">
        <v>560.94200000000001</v>
      </c>
      <c r="H336" s="177" t="s">
        <v>200</v>
      </c>
      <c r="I336" s="516" t="s">
        <v>2489</v>
      </c>
      <c r="J336" s="182" t="s">
        <v>98</v>
      </c>
      <c r="K336" s="438" t="s">
        <v>1902</v>
      </c>
      <c r="L336" s="182" t="s">
        <v>155</v>
      </c>
      <c r="M336" s="550"/>
      <c r="N336" s="550"/>
      <c r="O336" s="550"/>
    </row>
    <row r="337" spans="1:15" s="433" customFormat="1">
      <c r="A337" s="536">
        <v>45891</v>
      </c>
      <c r="B337" s="516" t="s">
        <v>2468</v>
      </c>
      <c r="C337" s="516" t="s">
        <v>174</v>
      </c>
      <c r="D337" s="516" t="s">
        <v>117</v>
      </c>
      <c r="E337" s="526">
        <v>500</v>
      </c>
      <c r="F337" s="325">
        <f t="shared" si="7"/>
        <v>0.89135775178182408</v>
      </c>
      <c r="G337" s="326">
        <v>560.94200000000001</v>
      </c>
      <c r="H337" s="177" t="s">
        <v>200</v>
      </c>
      <c r="I337" s="516" t="s">
        <v>2489</v>
      </c>
      <c r="J337" s="182" t="s">
        <v>98</v>
      </c>
      <c r="K337" s="438" t="s">
        <v>1902</v>
      </c>
      <c r="L337" s="182" t="s">
        <v>155</v>
      </c>
      <c r="M337" s="550"/>
      <c r="N337" s="550"/>
      <c r="O337" s="550"/>
    </row>
    <row r="338" spans="1:15" s="433" customFormat="1">
      <c r="A338" s="504">
        <v>45891</v>
      </c>
      <c r="B338" s="182" t="s">
        <v>2525</v>
      </c>
      <c r="C338" s="182" t="s">
        <v>174</v>
      </c>
      <c r="D338" s="182" t="s">
        <v>118</v>
      </c>
      <c r="E338" s="435">
        <v>1000</v>
      </c>
      <c r="F338" s="325">
        <f t="shared" si="7"/>
        <v>1.7827155035636482</v>
      </c>
      <c r="G338" s="326">
        <v>560.94200000000001</v>
      </c>
      <c r="H338" s="182" t="s">
        <v>583</v>
      </c>
      <c r="I338" s="182" t="s">
        <v>2536</v>
      </c>
      <c r="J338" s="182" t="s">
        <v>98</v>
      </c>
      <c r="K338" s="438" t="s">
        <v>1902</v>
      </c>
      <c r="L338" s="182" t="s">
        <v>155</v>
      </c>
      <c r="M338" s="550"/>
      <c r="N338" s="550"/>
      <c r="O338" s="550"/>
    </row>
    <row r="339" spans="1:15" s="433" customFormat="1">
      <c r="A339" s="504">
        <v>45891</v>
      </c>
      <c r="B339" s="182" t="s">
        <v>2526</v>
      </c>
      <c r="C339" s="182" t="s">
        <v>174</v>
      </c>
      <c r="D339" s="182" t="s">
        <v>118</v>
      </c>
      <c r="E339" s="435">
        <v>1000</v>
      </c>
      <c r="F339" s="325">
        <f t="shared" si="7"/>
        <v>1.7827155035636482</v>
      </c>
      <c r="G339" s="326">
        <v>560.94200000000001</v>
      </c>
      <c r="H339" s="182" t="s">
        <v>583</v>
      </c>
      <c r="I339" s="182" t="s">
        <v>2536</v>
      </c>
      <c r="J339" s="182" t="s">
        <v>98</v>
      </c>
      <c r="K339" s="438" t="s">
        <v>1902</v>
      </c>
      <c r="L339" s="182" t="s">
        <v>155</v>
      </c>
      <c r="M339" s="550"/>
      <c r="N339" s="550"/>
      <c r="O339" s="550"/>
    </row>
    <row r="340" spans="1:15" s="433" customFormat="1">
      <c r="A340" s="504">
        <v>45891</v>
      </c>
      <c r="B340" s="182" t="s">
        <v>2527</v>
      </c>
      <c r="C340" s="182" t="s">
        <v>174</v>
      </c>
      <c r="D340" s="182" t="s">
        <v>118</v>
      </c>
      <c r="E340" s="435">
        <v>500</v>
      </c>
      <c r="F340" s="325">
        <f t="shared" si="7"/>
        <v>0.89135775178182408</v>
      </c>
      <c r="G340" s="326">
        <v>560.94200000000001</v>
      </c>
      <c r="H340" s="182" t="s">
        <v>583</v>
      </c>
      <c r="I340" s="182" t="s">
        <v>2536</v>
      </c>
      <c r="J340" s="182" t="s">
        <v>98</v>
      </c>
      <c r="K340" s="438" t="s">
        <v>1902</v>
      </c>
      <c r="L340" s="182" t="s">
        <v>155</v>
      </c>
      <c r="M340" s="550"/>
      <c r="N340" s="550"/>
      <c r="O340" s="550"/>
    </row>
    <row r="341" spans="1:15" s="433" customFormat="1">
      <c r="A341" s="504">
        <v>45891</v>
      </c>
      <c r="B341" s="182" t="s">
        <v>2528</v>
      </c>
      <c r="C341" s="182" t="s">
        <v>174</v>
      </c>
      <c r="D341" s="182" t="s">
        <v>118</v>
      </c>
      <c r="E341" s="435">
        <v>500</v>
      </c>
      <c r="F341" s="325">
        <f t="shared" si="7"/>
        <v>0.89135775178182408</v>
      </c>
      <c r="G341" s="326">
        <v>560.94200000000001</v>
      </c>
      <c r="H341" s="182" t="s">
        <v>583</v>
      </c>
      <c r="I341" s="182" t="s">
        <v>2536</v>
      </c>
      <c r="J341" s="182" t="s">
        <v>98</v>
      </c>
      <c r="K341" s="438" t="s">
        <v>1902</v>
      </c>
      <c r="L341" s="182" t="s">
        <v>155</v>
      </c>
      <c r="M341" s="550"/>
      <c r="N341" s="550"/>
      <c r="O341" s="550"/>
    </row>
    <row r="342" spans="1:15" s="433" customFormat="1">
      <c r="A342" s="504">
        <v>45891</v>
      </c>
      <c r="B342" s="182" t="s">
        <v>2529</v>
      </c>
      <c r="C342" s="182" t="s">
        <v>174</v>
      </c>
      <c r="D342" s="182" t="s">
        <v>118</v>
      </c>
      <c r="E342" s="435">
        <v>500</v>
      </c>
      <c r="F342" s="325">
        <f t="shared" si="7"/>
        <v>0.89135775178182408</v>
      </c>
      <c r="G342" s="326">
        <v>560.94200000000001</v>
      </c>
      <c r="H342" s="182" t="s">
        <v>583</v>
      </c>
      <c r="I342" s="182" t="s">
        <v>2536</v>
      </c>
      <c r="J342" s="182" t="s">
        <v>98</v>
      </c>
      <c r="K342" s="438" t="s">
        <v>1902</v>
      </c>
      <c r="L342" s="182" t="s">
        <v>155</v>
      </c>
      <c r="M342" s="550"/>
      <c r="N342" s="550"/>
      <c r="O342" s="550"/>
    </row>
    <row r="343" spans="1:15" s="433" customFormat="1">
      <c r="A343" s="506">
        <v>45891</v>
      </c>
      <c r="B343" s="182" t="s">
        <v>2398</v>
      </c>
      <c r="C343" s="182" t="s">
        <v>182</v>
      </c>
      <c r="D343" s="182" t="s">
        <v>118</v>
      </c>
      <c r="E343" s="435">
        <v>31890</v>
      </c>
      <c r="F343" s="325">
        <f t="shared" si="7"/>
        <v>56.850797408644745</v>
      </c>
      <c r="G343" s="326">
        <v>560.94200000000001</v>
      </c>
      <c r="H343" s="182" t="s">
        <v>583</v>
      </c>
      <c r="I343" s="182" t="s">
        <v>2399</v>
      </c>
      <c r="J343" s="182" t="s">
        <v>98</v>
      </c>
      <c r="K343" s="438" t="s">
        <v>1902</v>
      </c>
      <c r="L343" s="182" t="s">
        <v>155</v>
      </c>
      <c r="M343" s="550"/>
      <c r="N343" s="550"/>
      <c r="O343" s="550"/>
    </row>
    <row r="344" spans="1:15" s="433" customFormat="1">
      <c r="A344" s="467">
        <v>45891</v>
      </c>
      <c r="B344" s="177" t="s">
        <v>3039</v>
      </c>
      <c r="C344" s="177" t="s">
        <v>174</v>
      </c>
      <c r="D344" s="177" t="s">
        <v>121</v>
      </c>
      <c r="E344" s="177">
        <v>1000</v>
      </c>
      <c r="F344" s="325">
        <f t="shared" si="7"/>
        <v>1.7827155035636482</v>
      </c>
      <c r="G344" s="326">
        <v>560.94200000000001</v>
      </c>
      <c r="H344" s="177" t="s">
        <v>184</v>
      </c>
      <c r="I344" s="177" t="s">
        <v>2558</v>
      </c>
      <c r="J344" s="182" t="s">
        <v>98</v>
      </c>
      <c r="K344" s="438" t="s">
        <v>1902</v>
      </c>
      <c r="L344" s="182" t="s">
        <v>155</v>
      </c>
    </row>
    <row r="345" spans="1:15" s="433" customFormat="1">
      <c r="A345" s="467">
        <v>45891</v>
      </c>
      <c r="B345" s="177" t="s">
        <v>3039</v>
      </c>
      <c r="C345" s="177" t="s">
        <v>174</v>
      </c>
      <c r="D345" s="177" t="s">
        <v>121</v>
      </c>
      <c r="E345" s="177">
        <v>1000</v>
      </c>
      <c r="F345" s="325">
        <f t="shared" si="7"/>
        <v>1.7827155035636482</v>
      </c>
      <c r="G345" s="326">
        <v>560.94200000000001</v>
      </c>
      <c r="H345" s="177" t="s">
        <v>184</v>
      </c>
      <c r="I345" s="177" t="s">
        <v>2558</v>
      </c>
      <c r="J345" s="182" t="s">
        <v>98</v>
      </c>
      <c r="K345" s="438" t="s">
        <v>1902</v>
      </c>
      <c r="L345" s="182" t="s">
        <v>155</v>
      </c>
    </row>
    <row r="346" spans="1:15" s="433" customFormat="1">
      <c r="A346" s="467">
        <v>45891</v>
      </c>
      <c r="B346" s="177" t="s">
        <v>3041</v>
      </c>
      <c r="C346" s="177" t="s">
        <v>174</v>
      </c>
      <c r="D346" s="177" t="s">
        <v>121</v>
      </c>
      <c r="E346" s="177">
        <v>1000</v>
      </c>
      <c r="F346" s="325">
        <f t="shared" si="7"/>
        <v>1.7827155035636482</v>
      </c>
      <c r="G346" s="326">
        <v>560.94200000000001</v>
      </c>
      <c r="H346" s="177" t="s">
        <v>184</v>
      </c>
      <c r="I346" s="177" t="s">
        <v>2558</v>
      </c>
      <c r="J346" s="182" t="s">
        <v>98</v>
      </c>
      <c r="K346" s="438" t="s">
        <v>1902</v>
      </c>
      <c r="L346" s="182" t="s">
        <v>155</v>
      </c>
    </row>
    <row r="347" spans="1:15" s="433" customFormat="1">
      <c r="A347" s="467">
        <v>45891</v>
      </c>
      <c r="B347" s="177" t="s">
        <v>3041</v>
      </c>
      <c r="C347" s="177" t="s">
        <v>174</v>
      </c>
      <c r="D347" s="177" t="s">
        <v>121</v>
      </c>
      <c r="E347" s="177">
        <v>1000</v>
      </c>
      <c r="F347" s="325">
        <f t="shared" si="7"/>
        <v>1.7827155035636482</v>
      </c>
      <c r="G347" s="326">
        <v>560.94200000000001</v>
      </c>
      <c r="H347" s="177" t="s">
        <v>184</v>
      </c>
      <c r="I347" s="177" t="s">
        <v>2558</v>
      </c>
      <c r="J347" s="182" t="s">
        <v>98</v>
      </c>
      <c r="K347" s="438" t="s">
        <v>1902</v>
      </c>
      <c r="L347" s="182" t="s">
        <v>155</v>
      </c>
    </row>
    <row r="348" spans="1:15" s="433" customFormat="1">
      <c r="A348" s="467">
        <v>45891</v>
      </c>
      <c r="B348" s="177" t="s">
        <v>3036</v>
      </c>
      <c r="C348" s="177" t="s">
        <v>174</v>
      </c>
      <c r="D348" s="177" t="s">
        <v>121</v>
      </c>
      <c r="E348" s="177">
        <v>500</v>
      </c>
      <c r="F348" s="325">
        <f t="shared" si="7"/>
        <v>0.89135775178182408</v>
      </c>
      <c r="G348" s="326">
        <v>560.94200000000001</v>
      </c>
      <c r="H348" s="177" t="s">
        <v>184</v>
      </c>
      <c r="I348" s="177" t="s">
        <v>2558</v>
      </c>
      <c r="J348" s="182" t="s">
        <v>98</v>
      </c>
      <c r="K348" s="438" t="s">
        <v>1902</v>
      </c>
      <c r="L348" s="182" t="s">
        <v>155</v>
      </c>
    </row>
    <row r="349" spans="1:15" s="433" customFormat="1">
      <c r="A349" s="467">
        <v>45891</v>
      </c>
      <c r="B349" s="177" t="s">
        <v>3041</v>
      </c>
      <c r="C349" s="177" t="s">
        <v>174</v>
      </c>
      <c r="D349" s="177" t="s">
        <v>121</v>
      </c>
      <c r="E349" s="177">
        <v>1000</v>
      </c>
      <c r="F349" s="325">
        <f t="shared" si="7"/>
        <v>1.7827155035636482</v>
      </c>
      <c r="G349" s="326">
        <v>560.94200000000001</v>
      </c>
      <c r="H349" s="177" t="s">
        <v>184</v>
      </c>
      <c r="I349" s="177" t="s">
        <v>2558</v>
      </c>
      <c r="J349" s="182" t="s">
        <v>98</v>
      </c>
      <c r="K349" s="438" t="s">
        <v>1902</v>
      </c>
      <c r="L349" s="182" t="s">
        <v>155</v>
      </c>
    </row>
    <row r="350" spans="1:15" s="546" customFormat="1">
      <c r="A350" s="467">
        <v>45891</v>
      </c>
      <c r="B350" s="177" t="s">
        <v>3042</v>
      </c>
      <c r="C350" s="177" t="s">
        <v>174</v>
      </c>
      <c r="D350" s="177" t="s">
        <v>121</v>
      </c>
      <c r="E350" s="177">
        <v>500</v>
      </c>
      <c r="F350" s="325">
        <f t="shared" si="7"/>
        <v>0.89135775178182408</v>
      </c>
      <c r="G350" s="326">
        <v>560.94200000000001</v>
      </c>
      <c r="H350" s="177" t="s">
        <v>184</v>
      </c>
      <c r="I350" s="177" t="s">
        <v>2558</v>
      </c>
      <c r="J350" s="182" t="s">
        <v>98</v>
      </c>
      <c r="K350" s="438" t="s">
        <v>1902</v>
      </c>
      <c r="L350" s="182" t="s">
        <v>155</v>
      </c>
      <c r="M350" s="433"/>
      <c r="N350" s="433"/>
      <c r="O350" s="433"/>
    </row>
    <row r="351" spans="1:15" s="433" customFormat="1">
      <c r="A351" s="467">
        <v>45891</v>
      </c>
      <c r="B351" s="177" t="s">
        <v>3041</v>
      </c>
      <c r="C351" s="177" t="s">
        <v>174</v>
      </c>
      <c r="D351" s="177" t="s">
        <v>121</v>
      </c>
      <c r="E351" s="177">
        <v>1000</v>
      </c>
      <c r="F351" s="325">
        <f t="shared" si="7"/>
        <v>1.7827155035636482</v>
      </c>
      <c r="G351" s="326">
        <v>560.94200000000001</v>
      </c>
      <c r="H351" s="177" t="s">
        <v>184</v>
      </c>
      <c r="I351" s="177" t="s">
        <v>2558</v>
      </c>
      <c r="J351" s="182" t="s">
        <v>98</v>
      </c>
      <c r="K351" s="438" t="s">
        <v>1902</v>
      </c>
      <c r="L351" s="182" t="s">
        <v>155</v>
      </c>
    </row>
    <row r="352" spans="1:15" s="433" customFormat="1">
      <c r="A352" s="505">
        <v>45891</v>
      </c>
      <c r="B352" s="182" t="s">
        <v>3010</v>
      </c>
      <c r="C352" s="182" t="s">
        <v>174</v>
      </c>
      <c r="D352" s="510" t="s">
        <v>121</v>
      </c>
      <c r="E352" s="182">
        <v>500</v>
      </c>
      <c r="F352" s="325">
        <f t="shared" si="7"/>
        <v>0.89135775178182408</v>
      </c>
      <c r="G352" s="326">
        <v>560.94200000000001</v>
      </c>
      <c r="H352" s="182" t="s">
        <v>175</v>
      </c>
      <c r="I352" s="182" t="s">
        <v>2588</v>
      </c>
      <c r="J352" s="182" t="s">
        <v>98</v>
      </c>
      <c r="K352" s="438" t="s">
        <v>1902</v>
      </c>
      <c r="L352" s="182" t="s">
        <v>155</v>
      </c>
    </row>
    <row r="353" spans="1:12" s="433" customFormat="1">
      <c r="A353" s="505">
        <v>45891</v>
      </c>
      <c r="B353" s="182" t="s">
        <v>3011</v>
      </c>
      <c r="C353" s="182" t="s">
        <v>174</v>
      </c>
      <c r="D353" s="510" t="s">
        <v>121</v>
      </c>
      <c r="E353" s="182">
        <v>500</v>
      </c>
      <c r="F353" s="325">
        <f t="shared" si="7"/>
        <v>0.89135775178182408</v>
      </c>
      <c r="G353" s="326">
        <v>560.94200000000001</v>
      </c>
      <c r="H353" s="182" t="s">
        <v>175</v>
      </c>
      <c r="I353" s="182" t="s">
        <v>2588</v>
      </c>
      <c r="J353" s="182" t="s">
        <v>98</v>
      </c>
      <c r="K353" s="438" t="s">
        <v>1902</v>
      </c>
      <c r="L353" s="182" t="s">
        <v>155</v>
      </c>
    </row>
    <row r="354" spans="1:12" s="433" customFormat="1">
      <c r="A354" s="505">
        <v>45891</v>
      </c>
      <c r="B354" s="182" t="s">
        <v>3037</v>
      </c>
      <c r="C354" s="182" t="s">
        <v>174</v>
      </c>
      <c r="D354" s="522" t="s">
        <v>121</v>
      </c>
      <c r="E354" s="182">
        <v>500</v>
      </c>
      <c r="F354" s="325">
        <f t="shared" si="7"/>
        <v>0.89135775178182408</v>
      </c>
      <c r="G354" s="326">
        <v>560.94200000000001</v>
      </c>
      <c r="H354" s="182" t="s">
        <v>317</v>
      </c>
      <c r="I354" s="182" t="s">
        <v>2632</v>
      </c>
      <c r="J354" s="182" t="s">
        <v>98</v>
      </c>
      <c r="K354" s="438" t="s">
        <v>1902</v>
      </c>
      <c r="L354" s="182" t="s">
        <v>155</v>
      </c>
    </row>
    <row r="355" spans="1:12" s="433" customFormat="1">
      <c r="A355" s="505">
        <v>45891</v>
      </c>
      <c r="B355" s="182" t="s">
        <v>3042</v>
      </c>
      <c r="C355" s="182" t="s">
        <v>174</v>
      </c>
      <c r="D355" s="522" t="s">
        <v>121</v>
      </c>
      <c r="E355" s="182">
        <v>500</v>
      </c>
      <c r="F355" s="325">
        <f t="shared" si="7"/>
        <v>0.89135775178182408</v>
      </c>
      <c r="G355" s="326">
        <v>560.94200000000001</v>
      </c>
      <c r="H355" s="182" t="s">
        <v>317</v>
      </c>
      <c r="I355" s="182" t="s">
        <v>2632</v>
      </c>
      <c r="J355" s="182" t="s">
        <v>98</v>
      </c>
      <c r="K355" s="438" t="s">
        <v>1902</v>
      </c>
      <c r="L355" s="182" t="s">
        <v>155</v>
      </c>
    </row>
    <row r="356" spans="1:12" s="433" customFormat="1">
      <c r="A356" s="505">
        <v>45891</v>
      </c>
      <c r="B356" s="182" t="s">
        <v>2630</v>
      </c>
      <c r="C356" s="182" t="s">
        <v>365</v>
      </c>
      <c r="D356" s="522" t="s">
        <v>121</v>
      </c>
      <c r="E356" s="182">
        <v>2000</v>
      </c>
      <c r="F356" s="325">
        <f t="shared" si="7"/>
        <v>3.5654310071272963</v>
      </c>
      <c r="G356" s="326">
        <v>560.94200000000001</v>
      </c>
      <c r="H356" s="182" t="s">
        <v>317</v>
      </c>
      <c r="I356" s="182" t="s">
        <v>2639</v>
      </c>
      <c r="J356" s="182" t="s">
        <v>98</v>
      </c>
      <c r="K356" s="438" t="s">
        <v>1902</v>
      </c>
      <c r="L356" s="182" t="s">
        <v>155</v>
      </c>
    </row>
    <row r="357" spans="1:12" s="433" customFormat="1">
      <c r="A357" s="505">
        <v>45891</v>
      </c>
      <c r="B357" s="182" t="s">
        <v>3037</v>
      </c>
      <c r="C357" s="182" t="s">
        <v>174</v>
      </c>
      <c r="D357" s="522" t="s">
        <v>121</v>
      </c>
      <c r="E357" s="182">
        <v>500</v>
      </c>
      <c r="F357" s="325">
        <f t="shared" si="7"/>
        <v>0.89135775178182408</v>
      </c>
      <c r="G357" s="326">
        <v>560.94200000000001</v>
      </c>
      <c r="H357" s="182" t="s">
        <v>317</v>
      </c>
      <c r="I357" s="182" t="s">
        <v>2632</v>
      </c>
      <c r="J357" s="182" t="s">
        <v>98</v>
      </c>
      <c r="K357" s="438" t="s">
        <v>1902</v>
      </c>
      <c r="L357" s="182" t="s">
        <v>155</v>
      </c>
    </row>
    <row r="358" spans="1:12" s="433" customFormat="1">
      <c r="A358" s="505">
        <v>45891</v>
      </c>
      <c r="B358" s="182" t="s">
        <v>3037</v>
      </c>
      <c r="C358" s="182" t="s">
        <v>174</v>
      </c>
      <c r="D358" s="522" t="s">
        <v>121</v>
      </c>
      <c r="E358" s="182">
        <v>500</v>
      </c>
      <c r="F358" s="325">
        <f t="shared" si="7"/>
        <v>0.89135775178182408</v>
      </c>
      <c r="G358" s="326">
        <v>560.94200000000001</v>
      </c>
      <c r="H358" s="182" t="s">
        <v>317</v>
      </c>
      <c r="I358" s="182" t="s">
        <v>2632</v>
      </c>
      <c r="J358" s="182" t="s">
        <v>98</v>
      </c>
      <c r="K358" s="438" t="s">
        <v>1902</v>
      </c>
      <c r="L358" s="182" t="s">
        <v>155</v>
      </c>
    </row>
    <row r="359" spans="1:12" s="433" customFormat="1">
      <c r="A359" s="505">
        <v>45891</v>
      </c>
      <c r="B359" s="182" t="s">
        <v>3037</v>
      </c>
      <c r="C359" s="182" t="s">
        <v>174</v>
      </c>
      <c r="D359" s="522" t="s">
        <v>121</v>
      </c>
      <c r="E359" s="182">
        <v>500</v>
      </c>
      <c r="F359" s="325">
        <f t="shared" si="7"/>
        <v>0.89135775178182408</v>
      </c>
      <c r="G359" s="326">
        <v>560.94200000000001</v>
      </c>
      <c r="H359" s="182" t="s">
        <v>317</v>
      </c>
      <c r="I359" s="182" t="s">
        <v>2632</v>
      </c>
      <c r="J359" s="182" t="s">
        <v>98</v>
      </c>
      <c r="K359" s="438" t="s">
        <v>1902</v>
      </c>
      <c r="L359" s="182" t="s">
        <v>155</v>
      </c>
    </row>
    <row r="360" spans="1:12" s="433" customFormat="1">
      <c r="A360" s="505">
        <v>45891</v>
      </c>
      <c r="B360" s="182" t="s">
        <v>3061</v>
      </c>
      <c r="C360" s="182" t="s">
        <v>174</v>
      </c>
      <c r="D360" s="522" t="s">
        <v>121</v>
      </c>
      <c r="E360" s="496">
        <v>1000</v>
      </c>
      <c r="F360" s="325">
        <f t="shared" si="7"/>
        <v>1.7827155035636482</v>
      </c>
      <c r="G360" s="326">
        <v>560.94200000000001</v>
      </c>
      <c r="H360" s="182" t="s">
        <v>323</v>
      </c>
      <c r="I360" s="182" t="s">
        <v>2671</v>
      </c>
      <c r="J360" s="182" t="s">
        <v>98</v>
      </c>
      <c r="K360" s="438" t="s">
        <v>1902</v>
      </c>
      <c r="L360" s="182" t="s">
        <v>155</v>
      </c>
    </row>
    <row r="361" spans="1:12" s="433" customFormat="1">
      <c r="A361" s="505">
        <v>45891</v>
      </c>
      <c r="B361" s="182" t="s">
        <v>3048</v>
      </c>
      <c r="C361" s="182" t="s">
        <v>174</v>
      </c>
      <c r="D361" s="522" t="s">
        <v>121</v>
      </c>
      <c r="E361" s="496">
        <v>3000</v>
      </c>
      <c r="F361" s="325">
        <f t="shared" si="7"/>
        <v>5.3481465106909445</v>
      </c>
      <c r="G361" s="326">
        <v>560.94200000000001</v>
      </c>
      <c r="H361" s="182" t="s">
        <v>323</v>
      </c>
      <c r="I361" s="182" t="s">
        <v>2679</v>
      </c>
      <c r="J361" s="182" t="s">
        <v>98</v>
      </c>
      <c r="K361" s="438" t="s">
        <v>1902</v>
      </c>
      <c r="L361" s="182" t="s">
        <v>155</v>
      </c>
    </row>
    <row r="362" spans="1:12" s="433" customFormat="1">
      <c r="A362" s="505">
        <v>45891</v>
      </c>
      <c r="B362" s="182" t="s">
        <v>3057</v>
      </c>
      <c r="C362" s="182" t="s">
        <v>174</v>
      </c>
      <c r="D362" s="182" t="s">
        <v>121</v>
      </c>
      <c r="E362" s="496">
        <v>500</v>
      </c>
      <c r="F362" s="325">
        <f t="shared" si="7"/>
        <v>0.89135775178182408</v>
      </c>
      <c r="G362" s="326">
        <v>560.94200000000001</v>
      </c>
      <c r="H362" s="182" t="s">
        <v>323</v>
      </c>
      <c r="I362" s="182" t="s">
        <v>2671</v>
      </c>
      <c r="J362" s="182" t="s">
        <v>98</v>
      </c>
      <c r="K362" s="438" t="s">
        <v>1902</v>
      </c>
      <c r="L362" s="182" t="s">
        <v>155</v>
      </c>
    </row>
    <row r="363" spans="1:12" s="433" customFormat="1">
      <c r="A363" s="505">
        <v>45891</v>
      </c>
      <c r="B363" s="182" t="s">
        <v>3057</v>
      </c>
      <c r="C363" s="182" t="s">
        <v>174</v>
      </c>
      <c r="D363" s="182" t="s">
        <v>121</v>
      </c>
      <c r="E363" s="496">
        <v>500</v>
      </c>
      <c r="F363" s="325">
        <f t="shared" si="7"/>
        <v>0.89135775178182408</v>
      </c>
      <c r="G363" s="326">
        <v>560.94200000000001</v>
      </c>
      <c r="H363" s="182" t="s">
        <v>323</v>
      </c>
      <c r="I363" s="182" t="s">
        <v>2671</v>
      </c>
      <c r="J363" s="182" t="s">
        <v>98</v>
      </c>
      <c r="K363" s="438" t="s">
        <v>1902</v>
      </c>
      <c r="L363" s="182" t="s">
        <v>155</v>
      </c>
    </row>
    <row r="364" spans="1:12" s="433" customFormat="1">
      <c r="A364" s="505">
        <v>45891</v>
      </c>
      <c r="B364" s="182" t="s">
        <v>2664</v>
      </c>
      <c r="C364" s="182" t="s">
        <v>368</v>
      </c>
      <c r="D364" s="522" t="s">
        <v>121</v>
      </c>
      <c r="E364" s="496">
        <v>1000</v>
      </c>
      <c r="F364" s="325">
        <f t="shared" si="7"/>
        <v>1.7827155035636482</v>
      </c>
      <c r="G364" s="326">
        <v>560.94200000000001</v>
      </c>
      <c r="H364" s="182" t="s">
        <v>323</v>
      </c>
      <c r="I364" s="182" t="s">
        <v>2678</v>
      </c>
      <c r="J364" s="182" t="s">
        <v>98</v>
      </c>
      <c r="K364" s="438" t="s">
        <v>1902</v>
      </c>
      <c r="L364" s="182" t="s">
        <v>155</v>
      </c>
    </row>
    <row r="365" spans="1:12" s="433" customFormat="1">
      <c r="A365" s="505">
        <v>45891</v>
      </c>
      <c r="B365" s="182" t="s">
        <v>3052</v>
      </c>
      <c r="C365" s="182" t="s">
        <v>174</v>
      </c>
      <c r="D365" s="522" t="s">
        <v>121</v>
      </c>
      <c r="E365" s="496">
        <v>500</v>
      </c>
      <c r="F365" s="325">
        <f t="shared" si="7"/>
        <v>0.89135775178182408</v>
      </c>
      <c r="G365" s="326">
        <v>560.94200000000001</v>
      </c>
      <c r="H365" s="182" t="s">
        <v>323</v>
      </c>
      <c r="I365" s="182" t="s">
        <v>2671</v>
      </c>
      <c r="J365" s="182" t="s">
        <v>98</v>
      </c>
      <c r="K365" s="438" t="s">
        <v>1902</v>
      </c>
      <c r="L365" s="182" t="s">
        <v>155</v>
      </c>
    </row>
    <row r="366" spans="1:12" s="433" customFormat="1">
      <c r="A366" s="505">
        <v>45891</v>
      </c>
      <c r="B366" s="182" t="s">
        <v>3046</v>
      </c>
      <c r="C366" s="182" t="s">
        <v>174</v>
      </c>
      <c r="D366" s="522" t="s">
        <v>121</v>
      </c>
      <c r="E366" s="496">
        <v>3000</v>
      </c>
      <c r="F366" s="325">
        <f t="shared" si="7"/>
        <v>5.3481465106909445</v>
      </c>
      <c r="G366" s="326">
        <v>560.94200000000001</v>
      </c>
      <c r="H366" s="182" t="s">
        <v>323</v>
      </c>
      <c r="I366" s="182" t="s">
        <v>2680</v>
      </c>
      <c r="J366" s="182" t="s">
        <v>98</v>
      </c>
      <c r="K366" s="438" t="s">
        <v>1902</v>
      </c>
      <c r="L366" s="182" t="s">
        <v>155</v>
      </c>
    </row>
    <row r="367" spans="1:12" s="433" customFormat="1">
      <c r="A367" s="505">
        <v>45891</v>
      </c>
      <c r="B367" s="182" t="s">
        <v>3060</v>
      </c>
      <c r="C367" s="182" t="s">
        <v>174</v>
      </c>
      <c r="D367" s="522" t="s">
        <v>121</v>
      </c>
      <c r="E367" s="496">
        <v>500</v>
      </c>
      <c r="F367" s="325">
        <f t="shared" si="7"/>
        <v>0.89135775178182408</v>
      </c>
      <c r="G367" s="326">
        <v>560.94200000000001</v>
      </c>
      <c r="H367" s="182" t="s">
        <v>323</v>
      </c>
      <c r="I367" s="182" t="s">
        <v>2671</v>
      </c>
      <c r="J367" s="182" t="s">
        <v>98</v>
      </c>
      <c r="K367" s="438" t="s">
        <v>1902</v>
      </c>
      <c r="L367" s="182" t="s">
        <v>155</v>
      </c>
    </row>
    <row r="368" spans="1:12" s="433" customFormat="1">
      <c r="A368" s="505">
        <v>45891</v>
      </c>
      <c r="B368" s="182" t="s">
        <v>2702</v>
      </c>
      <c r="C368" s="182" t="s">
        <v>2456</v>
      </c>
      <c r="D368" s="522" t="s">
        <v>117</v>
      </c>
      <c r="E368" s="435">
        <v>30000</v>
      </c>
      <c r="F368" s="325">
        <f t="shared" si="7"/>
        <v>53.481465106909447</v>
      </c>
      <c r="G368" s="326">
        <v>560.94200000000001</v>
      </c>
      <c r="H368" s="182" t="s">
        <v>190</v>
      </c>
      <c r="I368" s="182" t="s">
        <v>2715</v>
      </c>
      <c r="J368" s="182" t="s">
        <v>98</v>
      </c>
      <c r="K368" s="438" t="s">
        <v>1902</v>
      </c>
      <c r="L368" s="182" t="s">
        <v>155</v>
      </c>
    </row>
    <row r="369" spans="1:15" s="433" customFormat="1">
      <c r="A369" s="505">
        <v>45891</v>
      </c>
      <c r="B369" s="182" t="s">
        <v>2703</v>
      </c>
      <c r="C369" s="182" t="s">
        <v>174</v>
      </c>
      <c r="D369" s="522" t="s">
        <v>117</v>
      </c>
      <c r="E369" s="435">
        <v>1000</v>
      </c>
      <c r="F369" s="325">
        <f t="shared" si="7"/>
        <v>1.7827155035636482</v>
      </c>
      <c r="G369" s="326">
        <v>560.94200000000001</v>
      </c>
      <c r="H369" s="182" t="s">
        <v>190</v>
      </c>
      <c r="I369" s="182" t="s">
        <v>2707</v>
      </c>
      <c r="J369" s="182" t="s">
        <v>98</v>
      </c>
      <c r="K369" s="438" t="s">
        <v>1902</v>
      </c>
      <c r="L369" s="182" t="s">
        <v>155</v>
      </c>
    </row>
    <row r="370" spans="1:15" s="433" customFormat="1">
      <c r="A370" s="505">
        <v>45891</v>
      </c>
      <c r="B370" s="182" t="s">
        <v>2704</v>
      </c>
      <c r="C370" s="182" t="s">
        <v>174</v>
      </c>
      <c r="D370" s="522" t="s">
        <v>117</v>
      </c>
      <c r="E370" s="435">
        <v>2000</v>
      </c>
      <c r="F370" s="325">
        <f t="shared" si="7"/>
        <v>3.5654310071272963</v>
      </c>
      <c r="G370" s="326">
        <v>560.94200000000001</v>
      </c>
      <c r="H370" s="182" t="s">
        <v>190</v>
      </c>
      <c r="I370" s="182" t="s">
        <v>2707</v>
      </c>
      <c r="J370" s="182" t="s">
        <v>98</v>
      </c>
      <c r="K370" s="438" t="s">
        <v>1902</v>
      </c>
      <c r="L370" s="182" t="s">
        <v>155</v>
      </c>
    </row>
    <row r="371" spans="1:15" s="433" customFormat="1">
      <c r="A371" s="506">
        <v>45891</v>
      </c>
      <c r="B371" s="182" t="s">
        <v>2390</v>
      </c>
      <c r="C371" s="182" t="s">
        <v>172</v>
      </c>
      <c r="D371" s="522" t="s">
        <v>118</v>
      </c>
      <c r="E371" s="435">
        <v>68500</v>
      </c>
      <c r="F371" s="325">
        <f t="shared" si="7"/>
        <v>122.11601199410991</v>
      </c>
      <c r="G371" s="326">
        <v>560.94200000000001</v>
      </c>
      <c r="H371" s="182" t="s">
        <v>193</v>
      </c>
      <c r="I371" s="182" t="s">
        <v>2391</v>
      </c>
      <c r="J371" s="182" t="s">
        <v>98</v>
      </c>
      <c r="K371" s="438" t="s">
        <v>1902</v>
      </c>
      <c r="L371" s="182" t="s">
        <v>155</v>
      </c>
    </row>
    <row r="372" spans="1:15" s="433" customFormat="1">
      <c r="A372" s="503">
        <v>45891</v>
      </c>
      <c r="B372" s="182" t="s">
        <v>2783</v>
      </c>
      <c r="C372" s="517" t="s">
        <v>196</v>
      </c>
      <c r="D372" s="528" t="s">
        <v>117</v>
      </c>
      <c r="E372" s="496">
        <v>500</v>
      </c>
      <c r="F372" s="325">
        <f t="shared" si="7"/>
        <v>0.89135775178182408</v>
      </c>
      <c r="G372" s="326">
        <v>560.94200000000001</v>
      </c>
      <c r="H372" s="517" t="s">
        <v>437</v>
      </c>
      <c r="I372" s="182" t="s">
        <v>2817</v>
      </c>
      <c r="J372" s="182" t="s">
        <v>98</v>
      </c>
      <c r="K372" s="438" t="s">
        <v>1902</v>
      </c>
      <c r="L372" s="182" t="s">
        <v>155</v>
      </c>
    </row>
    <row r="373" spans="1:15" s="433" customFormat="1">
      <c r="A373" s="503">
        <v>45891</v>
      </c>
      <c r="B373" s="182" t="s">
        <v>2784</v>
      </c>
      <c r="C373" s="517" t="s">
        <v>196</v>
      </c>
      <c r="D373" s="528" t="s">
        <v>117</v>
      </c>
      <c r="E373" s="496">
        <v>500</v>
      </c>
      <c r="F373" s="325">
        <f t="shared" si="7"/>
        <v>0.89135775178182408</v>
      </c>
      <c r="G373" s="326">
        <v>560.94200000000001</v>
      </c>
      <c r="H373" s="517" t="s">
        <v>437</v>
      </c>
      <c r="I373" s="182" t="s">
        <v>2817</v>
      </c>
      <c r="J373" s="182" t="s">
        <v>98</v>
      </c>
      <c r="K373" s="438" t="s">
        <v>1902</v>
      </c>
      <c r="L373" s="182" t="s">
        <v>155</v>
      </c>
    </row>
    <row r="374" spans="1:15" s="433" customFormat="1">
      <c r="A374" s="503">
        <v>45891</v>
      </c>
      <c r="B374" s="182" t="s">
        <v>2785</v>
      </c>
      <c r="C374" s="517" t="s">
        <v>196</v>
      </c>
      <c r="D374" s="528" t="s">
        <v>117</v>
      </c>
      <c r="E374" s="496">
        <v>500</v>
      </c>
      <c r="F374" s="325">
        <f t="shared" si="7"/>
        <v>0.89135775178182408</v>
      </c>
      <c r="G374" s="326">
        <v>560.94200000000001</v>
      </c>
      <c r="H374" s="517" t="s">
        <v>437</v>
      </c>
      <c r="I374" s="182" t="s">
        <v>2817</v>
      </c>
      <c r="J374" s="182" t="s">
        <v>98</v>
      </c>
      <c r="K374" s="438" t="s">
        <v>1902</v>
      </c>
      <c r="L374" s="182" t="s">
        <v>155</v>
      </c>
    </row>
    <row r="375" spans="1:15" s="433" customFormat="1">
      <c r="A375" s="505">
        <v>45891</v>
      </c>
      <c r="B375" s="182" t="s">
        <v>2876</v>
      </c>
      <c r="C375" s="182" t="s">
        <v>174</v>
      </c>
      <c r="D375" s="522" t="s">
        <v>117</v>
      </c>
      <c r="E375" s="182">
        <v>500</v>
      </c>
      <c r="F375" s="325">
        <f t="shared" si="7"/>
        <v>0.89135775178182408</v>
      </c>
      <c r="G375" s="326">
        <v>560.94200000000001</v>
      </c>
      <c r="H375" s="182" t="s">
        <v>187</v>
      </c>
      <c r="I375" s="182" t="s">
        <v>2880</v>
      </c>
      <c r="J375" s="182" t="s">
        <v>98</v>
      </c>
      <c r="K375" s="438" t="s">
        <v>1902</v>
      </c>
      <c r="L375" s="182" t="s">
        <v>155</v>
      </c>
    </row>
    <row r="376" spans="1:15" s="433" customFormat="1">
      <c r="A376" s="505">
        <v>45891</v>
      </c>
      <c r="B376" s="182" t="s">
        <v>2877</v>
      </c>
      <c r="C376" s="182" t="s">
        <v>174</v>
      </c>
      <c r="D376" s="522" t="s">
        <v>117</v>
      </c>
      <c r="E376" s="182">
        <v>500</v>
      </c>
      <c r="F376" s="325">
        <f t="shared" si="7"/>
        <v>0.89135775178182408</v>
      </c>
      <c r="G376" s="326">
        <v>560.94200000000001</v>
      </c>
      <c r="H376" s="182" t="s">
        <v>187</v>
      </c>
      <c r="I376" s="182" t="s">
        <v>2880</v>
      </c>
      <c r="J376" s="182" t="s">
        <v>98</v>
      </c>
      <c r="K376" s="438" t="s">
        <v>1902</v>
      </c>
      <c r="L376" s="182" t="s">
        <v>155</v>
      </c>
    </row>
    <row r="377" spans="1:15" s="433" customFormat="1">
      <c r="A377" s="508">
        <v>45891</v>
      </c>
      <c r="B377" s="367" t="s">
        <v>2896</v>
      </c>
      <c r="C377" s="439" t="s">
        <v>123</v>
      </c>
      <c r="D377" s="521" t="s">
        <v>117</v>
      </c>
      <c r="E377" s="435">
        <v>150000</v>
      </c>
      <c r="F377" s="325">
        <f t="shared" si="7"/>
        <v>267.40732553454723</v>
      </c>
      <c r="G377" s="326">
        <v>560.94200000000001</v>
      </c>
      <c r="H377" s="182" t="s">
        <v>148</v>
      </c>
      <c r="I377" s="182" t="s">
        <v>2918</v>
      </c>
      <c r="J377" s="182" t="s">
        <v>98</v>
      </c>
      <c r="K377" s="438" t="s">
        <v>1902</v>
      </c>
      <c r="L377" s="182" t="s">
        <v>155</v>
      </c>
    </row>
    <row r="378" spans="1:15" s="433" customFormat="1">
      <c r="A378" s="535">
        <v>45892</v>
      </c>
      <c r="B378" s="517" t="s">
        <v>2099</v>
      </c>
      <c r="C378" s="308" t="s">
        <v>174</v>
      </c>
      <c r="D378" s="529" t="s">
        <v>119</v>
      </c>
      <c r="E378" s="517">
        <v>1000</v>
      </c>
      <c r="F378" s="325">
        <f t="shared" si="7"/>
        <v>1.7827155035636482</v>
      </c>
      <c r="G378" s="326">
        <v>560.94200000000001</v>
      </c>
      <c r="H378" s="524" t="s">
        <v>153</v>
      </c>
      <c r="I378" s="525" t="s">
        <v>2494</v>
      </c>
      <c r="J378" s="182" t="s">
        <v>98</v>
      </c>
      <c r="K378" s="438" t="s">
        <v>1902</v>
      </c>
      <c r="L378" s="182" t="s">
        <v>155</v>
      </c>
      <c r="M378" s="550"/>
      <c r="N378" s="550"/>
      <c r="O378" s="550"/>
    </row>
    <row r="379" spans="1:15" s="433" customFormat="1">
      <c r="A379" s="535">
        <v>45892</v>
      </c>
      <c r="B379" s="517" t="s">
        <v>2100</v>
      </c>
      <c r="C379" s="308" t="s">
        <v>174</v>
      </c>
      <c r="D379" s="529" t="s">
        <v>119</v>
      </c>
      <c r="E379" s="517">
        <v>1000</v>
      </c>
      <c r="F379" s="325">
        <f t="shared" si="7"/>
        <v>1.7827155035636482</v>
      </c>
      <c r="G379" s="326">
        <v>560.94200000000001</v>
      </c>
      <c r="H379" s="524" t="s">
        <v>153</v>
      </c>
      <c r="I379" s="525" t="s">
        <v>2494</v>
      </c>
      <c r="J379" s="182" t="s">
        <v>98</v>
      </c>
      <c r="K379" s="438" t="s">
        <v>1902</v>
      </c>
      <c r="L379" s="182" t="s">
        <v>155</v>
      </c>
      <c r="M379" s="550"/>
      <c r="N379" s="550"/>
      <c r="O379" s="550"/>
    </row>
    <row r="380" spans="1:15" s="433" customFormat="1">
      <c r="A380" s="536">
        <v>45892</v>
      </c>
      <c r="B380" s="516" t="s">
        <v>2469</v>
      </c>
      <c r="C380" s="516" t="s">
        <v>174</v>
      </c>
      <c r="D380" s="518" t="s">
        <v>117</v>
      </c>
      <c r="E380" s="526">
        <v>500</v>
      </c>
      <c r="F380" s="325">
        <f t="shared" si="7"/>
        <v>0.89135775178182408</v>
      </c>
      <c r="G380" s="326">
        <v>560.94200000000001</v>
      </c>
      <c r="H380" s="177" t="s">
        <v>200</v>
      </c>
      <c r="I380" s="516" t="s">
        <v>2489</v>
      </c>
      <c r="J380" s="182" t="s">
        <v>98</v>
      </c>
      <c r="K380" s="438" t="s">
        <v>1902</v>
      </c>
      <c r="L380" s="182" t="s">
        <v>155</v>
      </c>
      <c r="M380" s="550"/>
      <c r="N380" s="550"/>
      <c r="O380" s="550"/>
    </row>
    <row r="381" spans="1:15" s="433" customFormat="1">
      <c r="A381" s="536">
        <v>45892</v>
      </c>
      <c r="B381" s="516" t="s">
        <v>2470</v>
      </c>
      <c r="C381" s="516" t="s">
        <v>174</v>
      </c>
      <c r="D381" s="518" t="s">
        <v>117</v>
      </c>
      <c r="E381" s="526">
        <v>500</v>
      </c>
      <c r="F381" s="325">
        <f t="shared" si="7"/>
        <v>0.89135775178182408</v>
      </c>
      <c r="G381" s="326">
        <v>560.94200000000001</v>
      </c>
      <c r="H381" s="177" t="s">
        <v>200</v>
      </c>
      <c r="I381" s="516" t="s">
        <v>2489</v>
      </c>
      <c r="J381" s="182" t="s">
        <v>98</v>
      </c>
      <c r="K381" s="438" t="s">
        <v>1902</v>
      </c>
      <c r="L381" s="182" t="s">
        <v>155</v>
      </c>
      <c r="M381" s="550"/>
      <c r="N381" s="550"/>
      <c r="O381" s="550"/>
    </row>
    <row r="382" spans="1:15" s="433" customFormat="1">
      <c r="A382" s="536">
        <v>45892</v>
      </c>
      <c r="B382" s="516" t="s">
        <v>2471</v>
      </c>
      <c r="C382" s="516" t="s">
        <v>174</v>
      </c>
      <c r="D382" s="518" t="s">
        <v>117</v>
      </c>
      <c r="E382" s="526">
        <v>500</v>
      </c>
      <c r="F382" s="325">
        <f t="shared" si="7"/>
        <v>0.89135775178182408</v>
      </c>
      <c r="G382" s="326">
        <v>560.94200000000001</v>
      </c>
      <c r="H382" s="177" t="s">
        <v>200</v>
      </c>
      <c r="I382" s="516" t="s">
        <v>2489</v>
      </c>
      <c r="J382" s="182" t="s">
        <v>98</v>
      </c>
      <c r="K382" s="438" t="s">
        <v>1902</v>
      </c>
      <c r="L382" s="182" t="s">
        <v>155</v>
      </c>
      <c r="M382" s="550"/>
      <c r="N382" s="550"/>
      <c r="O382" s="550"/>
    </row>
    <row r="383" spans="1:15" s="433" customFormat="1">
      <c r="A383" s="536">
        <v>45892</v>
      </c>
      <c r="B383" s="516" t="s">
        <v>2468</v>
      </c>
      <c r="C383" s="516" t="s">
        <v>174</v>
      </c>
      <c r="D383" s="518" t="s">
        <v>117</v>
      </c>
      <c r="E383" s="526">
        <v>500</v>
      </c>
      <c r="F383" s="325">
        <f t="shared" si="7"/>
        <v>0.89135775178182408</v>
      </c>
      <c r="G383" s="326">
        <v>560.94200000000001</v>
      </c>
      <c r="H383" s="177" t="s">
        <v>200</v>
      </c>
      <c r="I383" s="516" t="s">
        <v>2489</v>
      </c>
      <c r="J383" s="182" t="s">
        <v>98</v>
      </c>
      <c r="K383" s="438" t="s">
        <v>1902</v>
      </c>
      <c r="L383" s="182" t="s">
        <v>155</v>
      </c>
      <c r="M383" s="550"/>
      <c r="N383" s="550"/>
      <c r="O383" s="550"/>
    </row>
    <row r="384" spans="1:15" s="433" customFormat="1">
      <c r="A384" s="467">
        <v>45892</v>
      </c>
      <c r="B384" s="177" t="s">
        <v>2472</v>
      </c>
      <c r="C384" s="177" t="s">
        <v>2456</v>
      </c>
      <c r="D384" s="510" t="s">
        <v>117</v>
      </c>
      <c r="E384" s="527">
        <v>105000</v>
      </c>
      <c r="F384" s="325">
        <f t="shared" si="7"/>
        <v>187.18512787418308</v>
      </c>
      <c r="G384" s="326">
        <v>560.94200000000001</v>
      </c>
      <c r="H384" s="177" t="s">
        <v>200</v>
      </c>
      <c r="I384" s="516" t="s">
        <v>2984</v>
      </c>
      <c r="J384" s="182" t="s">
        <v>98</v>
      </c>
      <c r="K384" s="438" t="s">
        <v>1902</v>
      </c>
      <c r="L384" s="182" t="s">
        <v>155</v>
      </c>
      <c r="M384" s="550"/>
      <c r="N384" s="550"/>
      <c r="O384" s="550"/>
    </row>
    <row r="385" spans="1:15" s="433" customFormat="1">
      <c r="A385" s="536">
        <v>45892</v>
      </c>
      <c r="B385" s="516" t="s">
        <v>2473</v>
      </c>
      <c r="C385" s="516" t="s">
        <v>174</v>
      </c>
      <c r="D385" s="518" t="s">
        <v>117</v>
      </c>
      <c r="E385" s="526">
        <v>500</v>
      </c>
      <c r="F385" s="325">
        <f t="shared" si="7"/>
        <v>0.89135775178182408</v>
      </c>
      <c r="G385" s="326">
        <v>560.94200000000001</v>
      </c>
      <c r="H385" s="177" t="s">
        <v>200</v>
      </c>
      <c r="I385" s="516" t="s">
        <v>2489</v>
      </c>
      <c r="J385" s="182" t="s">
        <v>98</v>
      </c>
      <c r="K385" s="438" t="s">
        <v>1902</v>
      </c>
      <c r="L385" s="182" t="s">
        <v>155</v>
      </c>
      <c r="M385" s="550"/>
      <c r="N385" s="550"/>
      <c r="O385" s="550"/>
    </row>
    <row r="386" spans="1:15" s="433" customFormat="1">
      <c r="A386" s="467">
        <v>45892</v>
      </c>
      <c r="B386" s="177" t="s">
        <v>3041</v>
      </c>
      <c r="C386" s="177" t="s">
        <v>174</v>
      </c>
      <c r="D386" s="510" t="s">
        <v>121</v>
      </c>
      <c r="E386" s="177">
        <v>1000</v>
      </c>
      <c r="F386" s="325">
        <f t="shared" si="7"/>
        <v>1.7827155035636482</v>
      </c>
      <c r="G386" s="326">
        <v>560.94200000000001</v>
      </c>
      <c r="H386" s="177" t="s">
        <v>184</v>
      </c>
      <c r="I386" s="177" t="s">
        <v>2558</v>
      </c>
      <c r="J386" s="182" t="s">
        <v>98</v>
      </c>
      <c r="K386" s="438" t="s">
        <v>1902</v>
      </c>
      <c r="L386" s="182" t="s">
        <v>155</v>
      </c>
    </row>
    <row r="387" spans="1:15" s="433" customFormat="1">
      <c r="A387" s="467">
        <v>45892</v>
      </c>
      <c r="B387" s="177" t="s">
        <v>3041</v>
      </c>
      <c r="C387" s="177" t="s">
        <v>174</v>
      </c>
      <c r="D387" s="510" t="s">
        <v>121</v>
      </c>
      <c r="E387" s="177">
        <v>1000</v>
      </c>
      <c r="F387" s="325">
        <f t="shared" si="7"/>
        <v>1.7827155035636482</v>
      </c>
      <c r="G387" s="326">
        <v>560.94200000000001</v>
      </c>
      <c r="H387" s="177" t="s">
        <v>184</v>
      </c>
      <c r="I387" s="177" t="s">
        <v>2558</v>
      </c>
      <c r="J387" s="182" t="s">
        <v>98</v>
      </c>
      <c r="K387" s="438" t="s">
        <v>1902</v>
      </c>
      <c r="L387" s="182" t="s">
        <v>155</v>
      </c>
    </row>
    <row r="388" spans="1:15" s="433" customFormat="1">
      <c r="A388" s="467">
        <v>45892</v>
      </c>
      <c r="B388" s="177" t="s">
        <v>3037</v>
      </c>
      <c r="C388" s="177" t="s">
        <v>174</v>
      </c>
      <c r="D388" s="510" t="s">
        <v>121</v>
      </c>
      <c r="E388" s="177">
        <v>500</v>
      </c>
      <c r="F388" s="325">
        <f t="shared" si="7"/>
        <v>0.89135775178182408</v>
      </c>
      <c r="G388" s="326">
        <v>560.94200000000001</v>
      </c>
      <c r="H388" s="177" t="s">
        <v>184</v>
      </c>
      <c r="I388" s="177" t="s">
        <v>2558</v>
      </c>
      <c r="J388" s="182" t="s">
        <v>98</v>
      </c>
      <c r="K388" s="438" t="s">
        <v>1902</v>
      </c>
      <c r="L388" s="182" t="s">
        <v>155</v>
      </c>
    </row>
    <row r="389" spans="1:15" s="433" customFormat="1">
      <c r="A389" s="467">
        <v>45892</v>
      </c>
      <c r="B389" s="177" t="s">
        <v>3041</v>
      </c>
      <c r="C389" s="177" t="s">
        <v>174</v>
      </c>
      <c r="D389" s="510" t="s">
        <v>121</v>
      </c>
      <c r="E389" s="177">
        <v>1000</v>
      </c>
      <c r="F389" s="325">
        <f t="shared" si="7"/>
        <v>1.7827155035636482</v>
      </c>
      <c r="G389" s="326">
        <v>560.94200000000001</v>
      </c>
      <c r="H389" s="177" t="s">
        <v>184</v>
      </c>
      <c r="I389" s="177" t="s">
        <v>2558</v>
      </c>
      <c r="J389" s="182" t="s">
        <v>98</v>
      </c>
      <c r="K389" s="438" t="s">
        <v>1902</v>
      </c>
      <c r="L389" s="182" t="s">
        <v>155</v>
      </c>
    </row>
    <row r="390" spans="1:15" s="433" customFormat="1">
      <c r="A390" s="467">
        <v>45892</v>
      </c>
      <c r="B390" s="177" t="s">
        <v>3042</v>
      </c>
      <c r="C390" s="177" t="s">
        <v>174</v>
      </c>
      <c r="D390" s="510" t="s">
        <v>121</v>
      </c>
      <c r="E390" s="177">
        <v>500</v>
      </c>
      <c r="F390" s="325">
        <f t="shared" si="7"/>
        <v>0.89135775178182408</v>
      </c>
      <c r="G390" s="326">
        <v>560.94200000000001</v>
      </c>
      <c r="H390" s="177" t="s">
        <v>184</v>
      </c>
      <c r="I390" s="177" t="s">
        <v>2558</v>
      </c>
      <c r="J390" s="182" t="s">
        <v>98</v>
      </c>
      <c r="K390" s="438" t="s">
        <v>1902</v>
      </c>
      <c r="L390" s="182" t="s">
        <v>155</v>
      </c>
    </row>
    <row r="391" spans="1:15" s="433" customFormat="1">
      <c r="A391" s="467">
        <v>45892</v>
      </c>
      <c r="B391" s="177" t="s">
        <v>3039</v>
      </c>
      <c r="C391" s="177" t="s">
        <v>174</v>
      </c>
      <c r="D391" s="510" t="s">
        <v>121</v>
      </c>
      <c r="E391" s="177">
        <v>1000</v>
      </c>
      <c r="F391" s="325">
        <f t="shared" si="7"/>
        <v>1.7827155035636482</v>
      </c>
      <c r="G391" s="326">
        <v>560.94200000000001</v>
      </c>
      <c r="H391" s="177" t="s">
        <v>184</v>
      </c>
      <c r="I391" s="177" t="s">
        <v>2558</v>
      </c>
      <c r="J391" s="182" t="s">
        <v>98</v>
      </c>
      <c r="K391" s="438" t="s">
        <v>1902</v>
      </c>
      <c r="L391" s="182" t="s">
        <v>155</v>
      </c>
    </row>
    <row r="392" spans="1:15" s="433" customFormat="1">
      <c r="A392" s="505">
        <v>45892</v>
      </c>
      <c r="B392" s="182" t="s">
        <v>3012</v>
      </c>
      <c r="C392" s="182" t="s">
        <v>174</v>
      </c>
      <c r="D392" s="510" t="s">
        <v>121</v>
      </c>
      <c r="E392" s="182">
        <v>500</v>
      </c>
      <c r="F392" s="325">
        <f t="shared" si="7"/>
        <v>0.89135775178182408</v>
      </c>
      <c r="G392" s="326">
        <v>560.94200000000001</v>
      </c>
      <c r="H392" s="182" t="s">
        <v>175</v>
      </c>
      <c r="I392" s="182" t="s">
        <v>2588</v>
      </c>
      <c r="J392" s="182" t="s">
        <v>98</v>
      </c>
      <c r="K392" s="438" t="s">
        <v>1902</v>
      </c>
      <c r="L392" s="182" t="s">
        <v>155</v>
      </c>
    </row>
    <row r="393" spans="1:15" s="433" customFormat="1">
      <c r="A393" s="505">
        <v>45892</v>
      </c>
      <c r="B393" s="182" t="s">
        <v>3013</v>
      </c>
      <c r="C393" s="182" t="s">
        <v>174</v>
      </c>
      <c r="D393" s="510" t="s">
        <v>121</v>
      </c>
      <c r="E393" s="182">
        <v>500</v>
      </c>
      <c r="F393" s="325">
        <f t="shared" si="7"/>
        <v>0.89135775178182408</v>
      </c>
      <c r="G393" s="326">
        <v>560.94200000000001</v>
      </c>
      <c r="H393" s="182" t="s">
        <v>175</v>
      </c>
      <c r="I393" s="182" t="s">
        <v>2588</v>
      </c>
      <c r="J393" s="182" t="s">
        <v>98</v>
      </c>
      <c r="K393" s="438" t="s">
        <v>1902</v>
      </c>
      <c r="L393" s="182" t="s">
        <v>155</v>
      </c>
    </row>
    <row r="394" spans="1:15" s="433" customFormat="1">
      <c r="A394" s="505">
        <v>45892</v>
      </c>
      <c r="B394" s="182" t="s">
        <v>3014</v>
      </c>
      <c r="C394" s="182" t="s">
        <v>174</v>
      </c>
      <c r="D394" s="510" t="s">
        <v>121</v>
      </c>
      <c r="E394" s="182">
        <v>500</v>
      </c>
      <c r="F394" s="325">
        <f t="shared" si="7"/>
        <v>0.89135775178182408</v>
      </c>
      <c r="G394" s="326">
        <v>560.94200000000001</v>
      </c>
      <c r="H394" s="182" t="s">
        <v>175</v>
      </c>
      <c r="I394" s="182" t="s">
        <v>2588</v>
      </c>
      <c r="J394" s="182" t="s">
        <v>98</v>
      </c>
      <c r="K394" s="438" t="s">
        <v>1902</v>
      </c>
      <c r="L394" s="182" t="s">
        <v>155</v>
      </c>
    </row>
    <row r="395" spans="1:15" s="433" customFormat="1">
      <c r="A395" s="505">
        <v>45892</v>
      </c>
      <c r="B395" s="182" t="s">
        <v>3015</v>
      </c>
      <c r="C395" s="182" t="s">
        <v>174</v>
      </c>
      <c r="D395" s="510" t="s">
        <v>121</v>
      </c>
      <c r="E395" s="182">
        <v>500</v>
      </c>
      <c r="F395" s="325">
        <f t="shared" si="7"/>
        <v>0.89135775178182408</v>
      </c>
      <c r="G395" s="326">
        <v>560.94200000000001</v>
      </c>
      <c r="H395" s="182" t="s">
        <v>175</v>
      </c>
      <c r="I395" s="182" t="s">
        <v>2588</v>
      </c>
      <c r="J395" s="182" t="s">
        <v>98</v>
      </c>
      <c r="K395" s="438" t="s">
        <v>1902</v>
      </c>
      <c r="L395" s="182" t="s">
        <v>155</v>
      </c>
    </row>
    <row r="396" spans="1:15" s="433" customFormat="1">
      <c r="A396" s="505">
        <v>45892</v>
      </c>
      <c r="B396" s="182" t="s">
        <v>3016</v>
      </c>
      <c r="C396" s="182" t="s">
        <v>174</v>
      </c>
      <c r="D396" s="510" t="s">
        <v>121</v>
      </c>
      <c r="E396" s="182">
        <v>500</v>
      </c>
      <c r="F396" s="325">
        <f t="shared" si="7"/>
        <v>0.89135775178182408</v>
      </c>
      <c r="G396" s="326">
        <v>560.94200000000001</v>
      </c>
      <c r="H396" s="182" t="s">
        <v>175</v>
      </c>
      <c r="I396" s="182" t="s">
        <v>2588</v>
      </c>
      <c r="J396" s="182" t="s">
        <v>98</v>
      </c>
      <c r="K396" s="438" t="s">
        <v>1902</v>
      </c>
      <c r="L396" s="182" t="s">
        <v>155</v>
      </c>
    </row>
    <row r="397" spans="1:15" s="433" customFormat="1">
      <c r="A397" s="505">
        <v>45892</v>
      </c>
      <c r="B397" s="182" t="s">
        <v>2992</v>
      </c>
      <c r="C397" s="182" t="s">
        <v>2456</v>
      </c>
      <c r="D397" s="177" t="s">
        <v>121</v>
      </c>
      <c r="E397" s="182">
        <v>105000</v>
      </c>
      <c r="F397" s="325">
        <f t="shared" si="7"/>
        <v>187.18512787418308</v>
      </c>
      <c r="G397" s="326">
        <v>560.94200000000001</v>
      </c>
      <c r="H397" s="182" t="s">
        <v>175</v>
      </c>
      <c r="I397" s="182" t="s">
        <v>2601</v>
      </c>
      <c r="J397" s="182" t="s">
        <v>98</v>
      </c>
      <c r="K397" s="438" t="s">
        <v>1902</v>
      </c>
      <c r="L397" s="182" t="s">
        <v>155</v>
      </c>
    </row>
    <row r="398" spans="1:15" s="433" customFormat="1">
      <c r="A398" s="505">
        <v>45892</v>
      </c>
      <c r="B398" s="182" t="s">
        <v>3067</v>
      </c>
      <c r="C398" s="182" t="s">
        <v>177</v>
      </c>
      <c r="D398" s="182" t="s">
        <v>121</v>
      </c>
      <c r="E398" s="182">
        <v>30000</v>
      </c>
      <c r="F398" s="325">
        <f t="shared" si="7"/>
        <v>53.481465106909447</v>
      </c>
      <c r="G398" s="326">
        <v>560.94200000000001</v>
      </c>
      <c r="H398" s="182" t="s">
        <v>317</v>
      </c>
      <c r="I398" s="182" t="s">
        <v>2643</v>
      </c>
      <c r="J398" s="182" t="s">
        <v>98</v>
      </c>
      <c r="K398" s="438" t="s">
        <v>1902</v>
      </c>
      <c r="L398" s="182" t="s">
        <v>155</v>
      </c>
    </row>
    <row r="399" spans="1:15" s="433" customFormat="1">
      <c r="A399" s="505">
        <v>45892</v>
      </c>
      <c r="B399" s="182" t="s">
        <v>3037</v>
      </c>
      <c r="C399" s="182" t="s">
        <v>174</v>
      </c>
      <c r="D399" s="182" t="s">
        <v>121</v>
      </c>
      <c r="E399" s="182">
        <v>500</v>
      </c>
      <c r="F399" s="325">
        <f t="shared" ref="F399:F462" si="8">E399/G399</f>
        <v>0.89135775178182408</v>
      </c>
      <c r="G399" s="326">
        <v>560.94200000000001</v>
      </c>
      <c r="H399" s="182" t="s">
        <v>317</v>
      </c>
      <c r="I399" s="182" t="s">
        <v>2632</v>
      </c>
      <c r="J399" s="182" t="s">
        <v>98</v>
      </c>
      <c r="K399" s="438" t="s">
        <v>1902</v>
      </c>
      <c r="L399" s="182" t="s">
        <v>155</v>
      </c>
    </row>
    <row r="400" spans="1:15" s="546" customFormat="1">
      <c r="A400" s="505">
        <v>45892</v>
      </c>
      <c r="B400" s="182" t="s">
        <v>3066</v>
      </c>
      <c r="C400" s="182" t="s">
        <v>174</v>
      </c>
      <c r="D400" s="182" t="s">
        <v>121</v>
      </c>
      <c r="E400" s="182">
        <v>5000</v>
      </c>
      <c r="F400" s="325">
        <f t="shared" si="8"/>
        <v>8.9135775178182417</v>
      </c>
      <c r="G400" s="326">
        <v>560.94200000000001</v>
      </c>
      <c r="H400" s="182" t="s">
        <v>317</v>
      </c>
      <c r="I400" s="182" t="s">
        <v>2644</v>
      </c>
      <c r="J400" s="182" t="s">
        <v>98</v>
      </c>
      <c r="K400" s="438" t="s">
        <v>1902</v>
      </c>
      <c r="L400" s="182" t="s">
        <v>155</v>
      </c>
      <c r="M400" s="433"/>
      <c r="N400" s="433"/>
      <c r="O400" s="433"/>
    </row>
    <row r="401" spans="1:12" s="433" customFormat="1">
      <c r="A401" s="505">
        <v>45892</v>
      </c>
      <c r="B401" s="182" t="s">
        <v>3042</v>
      </c>
      <c r="C401" s="182" t="s">
        <v>174</v>
      </c>
      <c r="D401" s="182" t="s">
        <v>121</v>
      </c>
      <c r="E401" s="182">
        <v>500</v>
      </c>
      <c r="F401" s="325">
        <f t="shared" si="8"/>
        <v>0.89135775178182408</v>
      </c>
      <c r="G401" s="326">
        <v>560.94200000000001</v>
      </c>
      <c r="H401" s="182" t="s">
        <v>317</v>
      </c>
      <c r="I401" s="182" t="s">
        <v>2632</v>
      </c>
      <c r="J401" s="182" t="s">
        <v>98</v>
      </c>
      <c r="K401" s="438" t="s">
        <v>1902</v>
      </c>
      <c r="L401" s="182" t="s">
        <v>155</v>
      </c>
    </row>
    <row r="402" spans="1:12" s="433" customFormat="1">
      <c r="A402" s="505">
        <v>45892</v>
      </c>
      <c r="B402" s="182" t="s">
        <v>3042</v>
      </c>
      <c r="C402" s="182" t="s">
        <v>174</v>
      </c>
      <c r="D402" s="182" t="s">
        <v>121</v>
      </c>
      <c r="E402" s="182">
        <v>500</v>
      </c>
      <c r="F402" s="325">
        <f t="shared" si="8"/>
        <v>0.89135775178182408</v>
      </c>
      <c r="G402" s="326">
        <v>560.94200000000001</v>
      </c>
      <c r="H402" s="182" t="s">
        <v>317</v>
      </c>
      <c r="I402" s="182" t="s">
        <v>2632</v>
      </c>
      <c r="J402" s="182" t="s">
        <v>98</v>
      </c>
      <c r="K402" s="438" t="s">
        <v>1902</v>
      </c>
      <c r="L402" s="182" t="s">
        <v>155</v>
      </c>
    </row>
    <row r="403" spans="1:12" s="433" customFormat="1">
      <c r="A403" s="505">
        <v>45892</v>
      </c>
      <c r="B403" s="182" t="s">
        <v>3037</v>
      </c>
      <c r="C403" s="182" t="s">
        <v>174</v>
      </c>
      <c r="D403" s="182" t="s">
        <v>121</v>
      </c>
      <c r="E403" s="182">
        <v>500</v>
      </c>
      <c r="F403" s="325">
        <f t="shared" si="8"/>
        <v>0.89135775178182408</v>
      </c>
      <c r="G403" s="326">
        <v>560.94200000000001</v>
      </c>
      <c r="H403" s="182" t="s">
        <v>317</v>
      </c>
      <c r="I403" s="182" t="s">
        <v>2632</v>
      </c>
      <c r="J403" s="182" t="s">
        <v>98</v>
      </c>
      <c r="K403" s="438" t="s">
        <v>1902</v>
      </c>
      <c r="L403" s="182" t="s">
        <v>155</v>
      </c>
    </row>
    <row r="404" spans="1:12" s="433" customFormat="1">
      <c r="A404" s="505">
        <v>45892</v>
      </c>
      <c r="B404" s="182" t="s">
        <v>3042</v>
      </c>
      <c r="C404" s="182" t="s">
        <v>174</v>
      </c>
      <c r="D404" s="182" t="s">
        <v>121</v>
      </c>
      <c r="E404" s="182">
        <v>500</v>
      </c>
      <c r="F404" s="325">
        <f t="shared" si="8"/>
        <v>0.89135775178182408</v>
      </c>
      <c r="G404" s="326">
        <v>560.94200000000001</v>
      </c>
      <c r="H404" s="182" t="s">
        <v>317</v>
      </c>
      <c r="I404" s="182" t="s">
        <v>2632</v>
      </c>
      <c r="J404" s="182" t="s">
        <v>98</v>
      </c>
      <c r="K404" s="438" t="s">
        <v>1902</v>
      </c>
      <c r="L404" s="182" t="s">
        <v>155</v>
      </c>
    </row>
    <row r="405" spans="1:12" s="433" customFormat="1">
      <c r="A405" s="505">
        <v>45892</v>
      </c>
      <c r="B405" s="182" t="s">
        <v>3062</v>
      </c>
      <c r="C405" s="182" t="s">
        <v>174</v>
      </c>
      <c r="D405" s="182" t="s">
        <v>121</v>
      </c>
      <c r="E405" s="496">
        <v>500</v>
      </c>
      <c r="F405" s="325">
        <f t="shared" si="8"/>
        <v>0.89135775178182408</v>
      </c>
      <c r="G405" s="326">
        <v>560.94200000000001</v>
      </c>
      <c r="H405" s="182" t="s">
        <v>323</v>
      </c>
      <c r="I405" s="182" t="s">
        <v>2671</v>
      </c>
      <c r="J405" s="182" t="s">
        <v>98</v>
      </c>
      <c r="K405" s="438" t="s">
        <v>1902</v>
      </c>
      <c r="L405" s="182" t="s">
        <v>155</v>
      </c>
    </row>
    <row r="406" spans="1:12" s="433" customFormat="1">
      <c r="A406" s="505">
        <v>45892</v>
      </c>
      <c r="B406" s="182" t="s">
        <v>3046</v>
      </c>
      <c r="C406" s="182" t="s">
        <v>174</v>
      </c>
      <c r="D406" s="182" t="s">
        <v>121</v>
      </c>
      <c r="E406" s="496">
        <v>4000</v>
      </c>
      <c r="F406" s="325">
        <f t="shared" si="8"/>
        <v>7.1308620142545927</v>
      </c>
      <c r="G406" s="326">
        <v>560.94200000000001</v>
      </c>
      <c r="H406" s="182" t="s">
        <v>323</v>
      </c>
      <c r="I406" s="182" t="s">
        <v>2681</v>
      </c>
      <c r="J406" s="182" t="s">
        <v>98</v>
      </c>
      <c r="K406" s="438" t="s">
        <v>1902</v>
      </c>
      <c r="L406" s="182" t="s">
        <v>155</v>
      </c>
    </row>
    <row r="407" spans="1:12" s="433" customFormat="1">
      <c r="A407" s="505">
        <v>45892</v>
      </c>
      <c r="B407" s="182" t="s">
        <v>3060</v>
      </c>
      <c r="C407" s="182" t="s">
        <v>174</v>
      </c>
      <c r="D407" s="182" t="s">
        <v>121</v>
      </c>
      <c r="E407" s="496">
        <v>500</v>
      </c>
      <c r="F407" s="325">
        <f t="shared" si="8"/>
        <v>0.89135775178182408</v>
      </c>
      <c r="G407" s="326">
        <v>560.94200000000001</v>
      </c>
      <c r="H407" s="182" t="s">
        <v>323</v>
      </c>
      <c r="I407" s="182" t="s">
        <v>2671</v>
      </c>
      <c r="J407" s="182" t="s">
        <v>98</v>
      </c>
      <c r="K407" s="438" t="s">
        <v>1902</v>
      </c>
      <c r="L407" s="182" t="s">
        <v>155</v>
      </c>
    </row>
    <row r="408" spans="1:12" s="433" customFormat="1">
      <c r="A408" s="505">
        <v>45892</v>
      </c>
      <c r="B408" s="182" t="s">
        <v>2664</v>
      </c>
      <c r="C408" s="182" t="s">
        <v>368</v>
      </c>
      <c r="D408" s="182" t="s">
        <v>121</v>
      </c>
      <c r="E408" s="496">
        <v>1000</v>
      </c>
      <c r="F408" s="325">
        <f t="shared" si="8"/>
        <v>1.7827155035636482</v>
      </c>
      <c r="G408" s="326">
        <v>560.94200000000001</v>
      </c>
      <c r="H408" s="182" t="s">
        <v>323</v>
      </c>
      <c r="I408" s="182" t="s">
        <v>2678</v>
      </c>
      <c r="J408" s="182" t="s">
        <v>98</v>
      </c>
      <c r="K408" s="438" t="s">
        <v>1902</v>
      </c>
      <c r="L408" s="182" t="s">
        <v>155</v>
      </c>
    </row>
    <row r="409" spans="1:12" s="433" customFormat="1">
      <c r="A409" s="505">
        <v>45892</v>
      </c>
      <c r="B409" s="182" t="s">
        <v>3060</v>
      </c>
      <c r="C409" s="182" t="s">
        <v>174</v>
      </c>
      <c r="D409" s="182" t="s">
        <v>121</v>
      </c>
      <c r="E409" s="496">
        <v>500</v>
      </c>
      <c r="F409" s="325">
        <f t="shared" si="8"/>
        <v>0.89135775178182408</v>
      </c>
      <c r="G409" s="326">
        <v>560.94200000000001</v>
      </c>
      <c r="H409" s="182" t="s">
        <v>323</v>
      </c>
      <c r="I409" s="182" t="s">
        <v>2671</v>
      </c>
      <c r="J409" s="182" t="s">
        <v>98</v>
      </c>
      <c r="K409" s="438" t="s">
        <v>1902</v>
      </c>
      <c r="L409" s="182" t="s">
        <v>155</v>
      </c>
    </row>
    <row r="410" spans="1:12" s="433" customFormat="1">
      <c r="A410" s="505">
        <v>45892</v>
      </c>
      <c r="B410" s="182" t="s">
        <v>2997</v>
      </c>
      <c r="C410" s="182" t="s">
        <v>174</v>
      </c>
      <c r="D410" s="182" t="s">
        <v>121</v>
      </c>
      <c r="E410" s="496">
        <v>500</v>
      </c>
      <c r="F410" s="325">
        <f t="shared" si="8"/>
        <v>0.89135775178182408</v>
      </c>
      <c r="G410" s="326">
        <v>560.94200000000001</v>
      </c>
      <c r="H410" s="182" t="s">
        <v>323</v>
      </c>
      <c r="I410" s="182" t="s">
        <v>2671</v>
      </c>
      <c r="J410" s="182" t="s">
        <v>98</v>
      </c>
      <c r="K410" s="438" t="s">
        <v>1902</v>
      </c>
      <c r="L410" s="182" t="s">
        <v>155</v>
      </c>
    </row>
    <row r="411" spans="1:12" s="433" customFormat="1">
      <c r="A411" s="505">
        <v>45892</v>
      </c>
      <c r="B411" s="182" t="s">
        <v>3046</v>
      </c>
      <c r="C411" s="182" t="s">
        <v>174</v>
      </c>
      <c r="D411" s="182" t="s">
        <v>121</v>
      </c>
      <c r="E411" s="496">
        <v>4000</v>
      </c>
      <c r="F411" s="325">
        <f t="shared" si="8"/>
        <v>7.1308620142545927</v>
      </c>
      <c r="G411" s="326">
        <v>560.94200000000001</v>
      </c>
      <c r="H411" s="182" t="s">
        <v>323</v>
      </c>
      <c r="I411" s="182" t="s">
        <v>2682</v>
      </c>
      <c r="J411" s="182" t="s">
        <v>98</v>
      </c>
      <c r="K411" s="438" t="s">
        <v>1902</v>
      </c>
      <c r="L411" s="182" t="s">
        <v>155</v>
      </c>
    </row>
    <row r="412" spans="1:12" s="433" customFormat="1">
      <c r="A412" s="505">
        <v>45892</v>
      </c>
      <c r="B412" s="182" t="s">
        <v>3052</v>
      </c>
      <c r="C412" s="182" t="s">
        <v>174</v>
      </c>
      <c r="D412" s="182" t="s">
        <v>121</v>
      </c>
      <c r="E412" s="496">
        <v>1000</v>
      </c>
      <c r="F412" s="325">
        <f t="shared" si="8"/>
        <v>1.7827155035636482</v>
      </c>
      <c r="G412" s="326">
        <v>560.94200000000001</v>
      </c>
      <c r="H412" s="182" t="s">
        <v>323</v>
      </c>
      <c r="I412" s="182" t="s">
        <v>2671</v>
      </c>
      <c r="J412" s="182" t="s">
        <v>98</v>
      </c>
      <c r="K412" s="438" t="s">
        <v>1902</v>
      </c>
      <c r="L412" s="182" t="s">
        <v>155</v>
      </c>
    </row>
    <row r="413" spans="1:12" s="433" customFormat="1">
      <c r="A413" s="505">
        <v>45892</v>
      </c>
      <c r="B413" s="182" t="s">
        <v>3046</v>
      </c>
      <c r="C413" s="182" t="s">
        <v>174</v>
      </c>
      <c r="D413" s="182" t="s">
        <v>121</v>
      </c>
      <c r="E413" s="496">
        <v>12000</v>
      </c>
      <c r="F413" s="325">
        <f t="shared" si="8"/>
        <v>21.392586042763778</v>
      </c>
      <c r="G413" s="326">
        <v>560.94200000000001</v>
      </c>
      <c r="H413" s="182" t="s">
        <v>323</v>
      </c>
      <c r="I413" s="182" t="s">
        <v>2683</v>
      </c>
      <c r="J413" s="182" t="s">
        <v>98</v>
      </c>
      <c r="K413" s="438" t="s">
        <v>1902</v>
      </c>
      <c r="L413" s="182" t="s">
        <v>155</v>
      </c>
    </row>
    <row r="414" spans="1:12" s="433" customFormat="1">
      <c r="A414" s="505">
        <v>45892</v>
      </c>
      <c r="B414" s="182" t="s">
        <v>2997</v>
      </c>
      <c r="C414" s="182" t="s">
        <v>174</v>
      </c>
      <c r="D414" s="182" t="s">
        <v>121</v>
      </c>
      <c r="E414" s="496">
        <v>1000</v>
      </c>
      <c r="F414" s="325">
        <f t="shared" si="8"/>
        <v>1.7827155035636482</v>
      </c>
      <c r="G414" s="326">
        <v>560.94200000000001</v>
      </c>
      <c r="H414" s="182" t="s">
        <v>323</v>
      </c>
      <c r="I414" s="182" t="s">
        <v>2671</v>
      </c>
      <c r="J414" s="182" t="s">
        <v>98</v>
      </c>
      <c r="K414" s="438" t="s">
        <v>1902</v>
      </c>
      <c r="L414" s="182" t="s">
        <v>155</v>
      </c>
    </row>
    <row r="415" spans="1:12" s="433" customFormat="1">
      <c r="A415" s="503">
        <v>45892</v>
      </c>
      <c r="B415" s="182" t="s">
        <v>2786</v>
      </c>
      <c r="C415" s="517" t="s">
        <v>196</v>
      </c>
      <c r="D415" s="517" t="s">
        <v>117</v>
      </c>
      <c r="E415" s="496">
        <v>500</v>
      </c>
      <c r="F415" s="325">
        <f t="shared" si="8"/>
        <v>0.89135775178182408</v>
      </c>
      <c r="G415" s="326">
        <v>560.94200000000001</v>
      </c>
      <c r="H415" s="517" t="s">
        <v>437</v>
      </c>
      <c r="I415" s="182" t="s">
        <v>2817</v>
      </c>
      <c r="J415" s="182" t="s">
        <v>98</v>
      </c>
      <c r="K415" s="438" t="s">
        <v>1902</v>
      </c>
      <c r="L415" s="182" t="s">
        <v>155</v>
      </c>
    </row>
    <row r="416" spans="1:12" s="433" customFormat="1">
      <c r="A416" s="503">
        <v>45892</v>
      </c>
      <c r="B416" s="182" t="s">
        <v>2787</v>
      </c>
      <c r="C416" s="517" t="s">
        <v>196</v>
      </c>
      <c r="D416" s="517" t="s">
        <v>117</v>
      </c>
      <c r="E416" s="496">
        <v>500</v>
      </c>
      <c r="F416" s="325">
        <f t="shared" si="8"/>
        <v>0.89135775178182408</v>
      </c>
      <c r="G416" s="326">
        <v>560.94200000000001</v>
      </c>
      <c r="H416" s="517" t="s">
        <v>437</v>
      </c>
      <c r="I416" s="182" t="s">
        <v>2817</v>
      </c>
      <c r="J416" s="182" t="s">
        <v>98</v>
      </c>
      <c r="K416" s="438" t="s">
        <v>1902</v>
      </c>
      <c r="L416" s="182" t="s">
        <v>155</v>
      </c>
    </row>
    <row r="417" spans="1:15" s="433" customFormat="1">
      <c r="A417" s="503">
        <v>45892</v>
      </c>
      <c r="B417" s="182" t="s">
        <v>2788</v>
      </c>
      <c r="C417" s="517" t="s">
        <v>196</v>
      </c>
      <c r="D417" s="517" t="s">
        <v>117</v>
      </c>
      <c r="E417" s="496">
        <v>500</v>
      </c>
      <c r="F417" s="325">
        <f t="shared" si="8"/>
        <v>0.89135775178182408</v>
      </c>
      <c r="G417" s="326">
        <v>560.94200000000001</v>
      </c>
      <c r="H417" s="517" t="s">
        <v>437</v>
      </c>
      <c r="I417" s="182" t="s">
        <v>2817</v>
      </c>
      <c r="J417" s="182" t="s">
        <v>98</v>
      </c>
      <c r="K417" s="438" t="s">
        <v>1902</v>
      </c>
      <c r="L417" s="182" t="s">
        <v>155</v>
      </c>
    </row>
    <row r="418" spans="1:15" s="433" customFormat="1">
      <c r="A418" s="503">
        <v>45892</v>
      </c>
      <c r="B418" s="182" t="s">
        <v>2781</v>
      </c>
      <c r="C418" s="517" t="s">
        <v>196</v>
      </c>
      <c r="D418" s="517" t="s">
        <v>117</v>
      </c>
      <c r="E418" s="496">
        <v>500</v>
      </c>
      <c r="F418" s="325">
        <f t="shared" si="8"/>
        <v>0.89135775178182408</v>
      </c>
      <c r="G418" s="326">
        <v>560.94200000000001</v>
      </c>
      <c r="H418" s="517" t="s">
        <v>437</v>
      </c>
      <c r="I418" s="182" t="s">
        <v>2817</v>
      </c>
      <c r="J418" s="182" t="s">
        <v>98</v>
      </c>
      <c r="K418" s="438" t="s">
        <v>1902</v>
      </c>
      <c r="L418" s="182" t="s">
        <v>155</v>
      </c>
    </row>
    <row r="419" spans="1:15" s="433" customFormat="1">
      <c r="A419" s="505">
        <v>45892</v>
      </c>
      <c r="B419" s="182" t="s">
        <v>2841</v>
      </c>
      <c r="C419" s="182" t="s">
        <v>174</v>
      </c>
      <c r="D419" s="182" t="s">
        <v>120</v>
      </c>
      <c r="E419" s="496">
        <v>500</v>
      </c>
      <c r="F419" s="325">
        <f t="shared" si="8"/>
        <v>0.89135775178182408</v>
      </c>
      <c r="G419" s="326">
        <v>560.94200000000001</v>
      </c>
      <c r="H419" s="182" t="s">
        <v>213</v>
      </c>
      <c r="I419" s="182" t="s">
        <v>2853</v>
      </c>
      <c r="J419" s="182" t="s">
        <v>98</v>
      </c>
      <c r="K419" s="438" t="s">
        <v>1902</v>
      </c>
      <c r="L419" s="182" t="s">
        <v>155</v>
      </c>
    </row>
    <row r="420" spans="1:15" s="433" customFormat="1">
      <c r="A420" s="505">
        <v>45892</v>
      </c>
      <c r="B420" s="182" t="s">
        <v>2842</v>
      </c>
      <c r="C420" s="182" t="s">
        <v>174</v>
      </c>
      <c r="D420" s="182" t="s">
        <v>120</v>
      </c>
      <c r="E420" s="496">
        <v>500</v>
      </c>
      <c r="F420" s="325">
        <f t="shared" si="8"/>
        <v>0.89135775178182408</v>
      </c>
      <c r="G420" s="326">
        <v>560.94200000000001</v>
      </c>
      <c r="H420" s="182" t="s">
        <v>213</v>
      </c>
      <c r="I420" s="182" t="s">
        <v>2853</v>
      </c>
      <c r="J420" s="182" t="s">
        <v>98</v>
      </c>
      <c r="K420" s="438" t="s">
        <v>1902</v>
      </c>
      <c r="L420" s="182" t="s">
        <v>155</v>
      </c>
    </row>
    <row r="421" spans="1:15" s="433" customFormat="1">
      <c r="A421" s="535">
        <v>45893</v>
      </c>
      <c r="B421" s="517" t="s">
        <v>2099</v>
      </c>
      <c r="C421" s="308" t="s">
        <v>174</v>
      </c>
      <c r="D421" s="308" t="s">
        <v>119</v>
      </c>
      <c r="E421" s="517">
        <v>1000</v>
      </c>
      <c r="F421" s="325">
        <f t="shared" si="8"/>
        <v>1.7827155035636482</v>
      </c>
      <c r="G421" s="326">
        <v>560.94200000000001</v>
      </c>
      <c r="H421" s="524" t="s">
        <v>153</v>
      </c>
      <c r="I421" s="525" t="s">
        <v>2494</v>
      </c>
      <c r="J421" s="182" t="s">
        <v>98</v>
      </c>
      <c r="K421" s="438" t="s">
        <v>1902</v>
      </c>
      <c r="L421" s="182" t="s">
        <v>155</v>
      </c>
      <c r="M421" s="550"/>
      <c r="N421" s="550"/>
      <c r="O421" s="550"/>
    </row>
    <row r="422" spans="1:15" s="433" customFormat="1">
      <c r="A422" s="535">
        <v>45893</v>
      </c>
      <c r="B422" s="517" t="s">
        <v>2100</v>
      </c>
      <c r="C422" s="308" t="s">
        <v>174</v>
      </c>
      <c r="D422" s="308" t="s">
        <v>119</v>
      </c>
      <c r="E422" s="517">
        <v>1000</v>
      </c>
      <c r="F422" s="325">
        <f t="shared" si="8"/>
        <v>1.7827155035636482</v>
      </c>
      <c r="G422" s="326">
        <v>560.94200000000001</v>
      </c>
      <c r="H422" s="524" t="s">
        <v>153</v>
      </c>
      <c r="I422" s="525" t="s">
        <v>2494</v>
      </c>
      <c r="J422" s="182" t="s">
        <v>98</v>
      </c>
      <c r="K422" s="438" t="s">
        <v>1902</v>
      </c>
      <c r="L422" s="182" t="s">
        <v>155</v>
      </c>
      <c r="M422" s="550"/>
      <c r="N422" s="550"/>
      <c r="O422" s="550"/>
    </row>
    <row r="423" spans="1:15" s="433" customFormat="1">
      <c r="A423" s="536">
        <v>45893</v>
      </c>
      <c r="B423" s="516" t="s">
        <v>2474</v>
      </c>
      <c r="C423" s="516" t="s">
        <v>174</v>
      </c>
      <c r="D423" s="516" t="s">
        <v>117</v>
      </c>
      <c r="E423" s="526">
        <v>500</v>
      </c>
      <c r="F423" s="325">
        <f t="shared" si="8"/>
        <v>0.89135775178182408</v>
      </c>
      <c r="G423" s="326">
        <v>560.94200000000001</v>
      </c>
      <c r="H423" s="177" t="s">
        <v>200</v>
      </c>
      <c r="I423" s="516" t="s">
        <v>2489</v>
      </c>
      <c r="J423" s="182" t="s">
        <v>98</v>
      </c>
      <c r="K423" s="438" t="s">
        <v>1902</v>
      </c>
      <c r="L423" s="182" t="s">
        <v>155</v>
      </c>
      <c r="M423" s="550"/>
      <c r="N423" s="550"/>
      <c r="O423" s="550"/>
    </row>
    <row r="424" spans="1:15" s="433" customFormat="1">
      <c r="A424" s="536">
        <v>45893</v>
      </c>
      <c r="B424" s="516" t="s">
        <v>2475</v>
      </c>
      <c r="C424" s="516" t="s">
        <v>174</v>
      </c>
      <c r="D424" s="516" t="s">
        <v>117</v>
      </c>
      <c r="E424" s="526">
        <v>500</v>
      </c>
      <c r="F424" s="325">
        <f t="shared" si="8"/>
        <v>0.89135775178182408</v>
      </c>
      <c r="G424" s="326">
        <v>560.94200000000001</v>
      </c>
      <c r="H424" s="177" t="s">
        <v>200</v>
      </c>
      <c r="I424" s="516" t="s">
        <v>2489</v>
      </c>
      <c r="J424" s="182" t="s">
        <v>98</v>
      </c>
      <c r="K424" s="438" t="s">
        <v>1902</v>
      </c>
      <c r="L424" s="182" t="s">
        <v>155</v>
      </c>
      <c r="M424" s="550"/>
      <c r="N424" s="550"/>
      <c r="O424" s="550"/>
    </row>
    <row r="425" spans="1:15" s="433" customFormat="1">
      <c r="A425" s="467">
        <v>45893</v>
      </c>
      <c r="B425" s="177" t="s">
        <v>3039</v>
      </c>
      <c r="C425" s="177" t="s">
        <v>174</v>
      </c>
      <c r="D425" s="177" t="s">
        <v>121</v>
      </c>
      <c r="E425" s="177">
        <v>1000</v>
      </c>
      <c r="F425" s="325">
        <f t="shared" si="8"/>
        <v>1.7827155035636482</v>
      </c>
      <c r="G425" s="326">
        <v>560.94200000000001</v>
      </c>
      <c r="H425" s="177" t="s">
        <v>184</v>
      </c>
      <c r="I425" s="177" t="s">
        <v>2558</v>
      </c>
      <c r="J425" s="182" t="s">
        <v>98</v>
      </c>
      <c r="K425" s="438" t="s">
        <v>1902</v>
      </c>
      <c r="L425" s="182" t="s">
        <v>155</v>
      </c>
    </row>
    <row r="426" spans="1:15" s="433" customFormat="1">
      <c r="A426" s="467">
        <v>45893</v>
      </c>
      <c r="B426" s="177" t="s">
        <v>3039</v>
      </c>
      <c r="C426" s="177" t="s">
        <v>174</v>
      </c>
      <c r="D426" s="177" t="s">
        <v>121</v>
      </c>
      <c r="E426" s="177">
        <v>1000</v>
      </c>
      <c r="F426" s="325">
        <f t="shared" si="8"/>
        <v>1.7827155035636482</v>
      </c>
      <c r="G426" s="326">
        <v>560.94200000000001</v>
      </c>
      <c r="H426" s="177" t="s">
        <v>184</v>
      </c>
      <c r="I426" s="177" t="s">
        <v>2558</v>
      </c>
      <c r="J426" s="182" t="s">
        <v>98</v>
      </c>
      <c r="K426" s="438" t="s">
        <v>1902</v>
      </c>
      <c r="L426" s="182" t="s">
        <v>155</v>
      </c>
    </row>
    <row r="427" spans="1:15" s="433" customFormat="1">
      <c r="A427" s="505">
        <v>45893</v>
      </c>
      <c r="B427" s="182" t="s">
        <v>3017</v>
      </c>
      <c r="C427" s="182" t="s">
        <v>174</v>
      </c>
      <c r="D427" s="177" t="s">
        <v>121</v>
      </c>
      <c r="E427" s="182">
        <v>500</v>
      </c>
      <c r="F427" s="325">
        <f t="shared" si="8"/>
        <v>0.89135775178182408</v>
      </c>
      <c r="G427" s="326">
        <v>560.94200000000001</v>
      </c>
      <c r="H427" s="182" t="s">
        <v>175</v>
      </c>
      <c r="I427" s="182" t="s">
        <v>2588</v>
      </c>
      <c r="J427" s="182" t="s">
        <v>98</v>
      </c>
      <c r="K427" s="438" t="s">
        <v>1902</v>
      </c>
      <c r="L427" s="182" t="s">
        <v>155</v>
      </c>
    </row>
    <row r="428" spans="1:15" s="433" customFormat="1">
      <c r="A428" s="505">
        <v>45893</v>
      </c>
      <c r="B428" s="519" t="s">
        <v>3018</v>
      </c>
      <c r="C428" s="519" t="s">
        <v>174</v>
      </c>
      <c r="D428" s="511" t="s">
        <v>121</v>
      </c>
      <c r="E428" s="519">
        <v>500</v>
      </c>
      <c r="F428" s="325">
        <f t="shared" si="8"/>
        <v>0.89135775178182408</v>
      </c>
      <c r="G428" s="326">
        <v>560.94200000000001</v>
      </c>
      <c r="H428" s="519" t="s">
        <v>175</v>
      </c>
      <c r="I428" s="519" t="s">
        <v>2588</v>
      </c>
      <c r="J428" s="182" t="s">
        <v>98</v>
      </c>
      <c r="K428" s="438" t="s">
        <v>1902</v>
      </c>
      <c r="L428" s="182" t="s">
        <v>155</v>
      </c>
    </row>
    <row r="429" spans="1:15" s="433" customFormat="1">
      <c r="A429" s="505">
        <v>45893</v>
      </c>
      <c r="B429" s="182" t="s">
        <v>3019</v>
      </c>
      <c r="C429" s="182" t="s">
        <v>174</v>
      </c>
      <c r="D429" s="177" t="s">
        <v>121</v>
      </c>
      <c r="E429" s="182">
        <v>500</v>
      </c>
      <c r="F429" s="325">
        <f t="shared" si="8"/>
        <v>0.89135775178182408</v>
      </c>
      <c r="G429" s="326">
        <v>560.94200000000001</v>
      </c>
      <c r="H429" s="182" t="s">
        <v>175</v>
      </c>
      <c r="I429" s="182" t="s">
        <v>2588</v>
      </c>
      <c r="J429" s="182" t="s">
        <v>98</v>
      </c>
      <c r="K429" s="438" t="s">
        <v>1902</v>
      </c>
      <c r="L429" s="182" t="s">
        <v>155</v>
      </c>
    </row>
    <row r="430" spans="1:15" s="433" customFormat="1">
      <c r="A430" s="505">
        <v>45893</v>
      </c>
      <c r="B430" s="182" t="s">
        <v>3020</v>
      </c>
      <c r="C430" s="182" t="s">
        <v>174</v>
      </c>
      <c r="D430" s="177" t="s">
        <v>121</v>
      </c>
      <c r="E430" s="182">
        <v>500</v>
      </c>
      <c r="F430" s="325">
        <f t="shared" si="8"/>
        <v>0.89135775178182408</v>
      </c>
      <c r="G430" s="326">
        <v>560.94200000000001</v>
      </c>
      <c r="H430" s="182" t="s">
        <v>175</v>
      </c>
      <c r="I430" s="519" t="s">
        <v>2588</v>
      </c>
      <c r="J430" s="182" t="s">
        <v>98</v>
      </c>
      <c r="K430" s="438" t="s">
        <v>1902</v>
      </c>
      <c r="L430" s="182" t="s">
        <v>155</v>
      </c>
    </row>
    <row r="431" spans="1:15" s="433" customFormat="1">
      <c r="A431" s="505">
        <v>45893</v>
      </c>
      <c r="B431" s="182" t="s">
        <v>3021</v>
      </c>
      <c r="C431" s="182" t="s">
        <v>174</v>
      </c>
      <c r="D431" s="177" t="s">
        <v>121</v>
      </c>
      <c r="E431" s="182">
        <v>500</v>
      </c>
      <c r="F431" s="325">
        <f t="shared" si="8"/>
        <v>0.89135775178182408</v>
      </c>
      <c r="G431" s="326">
        <v>560.94200000000001</v>
      </c>
      <c r="H431" s="182" t="s">
        <v>175</v>
      </c>
      <c r="I431" s="182" t="s">
        <v>2588</v>
      </c>
      <c r="J431" s="182" t="s">
        <v>98</v>
      </c>
      <c r="K431" s="438" t="s">
        <v>1902</v>
      </c>
      <c r="L431" s="182" t="s">
        <v>155</v>
      </c>
    </row>
    <row r="432" spans="1:15" s="433" customFormat="1">
      <c r="A432" s="505">
        <v>45893</v>
      </c>
      <c r="B432" s="182" t="s">
        <v>3022</v>
      </c>
      <c r="C432" s="182" t="s">
        <v>174</v>
      </c>
      <c r="D432" s="177" t="s">
        <v>121</v>
      </c>
      <c r="E432" s="182">
        <v>500</v>
      </c>
      <c r="F432" s="325">
        <f t="shared" si="8"/>
        <v>0.89135775178182408</v>
      </c>
      <c r="G432" s="326">
        <v>560.94200000000001</v>
      </c>
      <c r="H432" s="182" t="s">
        <v>175</v>
      </c>
      <c r="I432" s="519" t="s">
        <v>2588</v>
      </c>
      <c r="J432" s="182" t="s">
        <v>98</v>
      </c>
      <c r="K432" s="438" t="s">
        <v>1902</v>
      </c>
      <c r="L432" s="182" t="s">
        <v>155</v>
      </c>
    </row>
    <row r="433" spans="1:15" s="433" customFormat="1">
      <c r="A433" s="505">
        <v>45893</v>
      </c>
      <c r="B433" s="182" t="s">
        <v>3068</v>
      </c>
      <c r="C433" s="182" t="s">
        <v>177</v>
      </c>
      <c r="D433" s="182" t="s">
        <v>121</v>
      </c>
      <c r="E433" s="182">
        <v>15000</v>
      </c>
      <c r="F433" s="325">
        <f t="shared" si="8"/>
        <v>26.740732553454723</v>
      </c>
      <c r="G433" s="326">
        <v>560.94200000000001</v>
      </c>
      <c r="H433" s="182" t="s">
        <v>317</v>
      </c>
      <c r="I433" s="519" t="s">
        <v>2645</v>
      </c>
      <c r="J433" s="182" t="s">
        <v>98</v>
      </c>
      <c r="K433" s="438" t="s">
        <v>1902</v>
      </c>
      <c r="L433" s="182" t="s">
        <v>155</v>
      </c>
    </row>
    <row r="434" spans="1:15" s="433" customFormat="1">
      <c r="A434" s="505">
        <v>45893</v>
      </c>
      <c r="B434" s="182" t="s">
        <v>3037</v>
      </c>
      <c r="C434" s="182" t="s">
        <v>174</v>
      </c>
      <c r="D434" s="182" t="s">
        <v>121</v>
      </c>
      <c r="E434" s="182">
        <v>500</v>
      </c>
      <c r="F434" s="325">
        <f t="shared" si="8"/>
        <v>0.89135775178182408</v>
      </c>
      <c r="G434" s="326">
        <v>560.94200000000001</v>
      </c>
      <c r="H434" s="182" t="s">
        <v>317</v>
      </c>
      <c r="I434" s="519" t="s">
        <v>2632</v>
      </c>
      <c r="J434" s="182" t="s">
        <v>98</v>
      </c>
      <c r="K434" s="438" t="s">
        <v>1902</v>
      </c>
      <c r="L434" s="182" t="s">
        <v>155</v>
      </c>
    </row>
    <row r="435" spans="1:15" s="433" customFormat="1">
      <c r="A435" s="505">
        <v>45893</v>
      </c>
      <c r="B435" s="182" t="s">
        <v>3064</v>
      </c>
      <c r="C435" s="182" t="s">
        <v>174</v>
      </c>
      <c r="D435" s="182" t="s">
        <v>121</v>
      </c>
      <c r="E435" s="182">
        <v>5000</v>
      </c>
      <c r="F435" s="325">
        <f t="shared" si="8"/>
        <v>8.9135775178182417</v>
      </c>
      <c r="G435" s="326">
        <v>560.94200000000001</v>
      </c>
      <c r="H435" s="182" t="s">
        <v>317</v>
      </c>
      <c r="I435" s="182" t="s">
        <v>2646</v>
      </c>
      <c r="J435" s="182" t="s">
        <v>98</v>
      </c>
      <c r="K435" s="438" t="s">
        <v>1902</v>
      </c>
      <c r="L435" s="182" t="s">
        <v>155</v>
      </c>
    </row>
    <row r="436" spans="1:15" s="433" customFormat="1">
      <c r="A436" s="505">
        <v>45893</v>
      </c>
      <c r="B436" s="182" t="s">
        <v>3057</v>
      </c>
      <c r="C436" s="182" t="s">
        <v>174</v>
      </c>
      <c r="D436" s="182" t="s">
        <v>121</v>
      </c>
      <c r="E436" s="182">
        <v>4000</v>
      </c>
      <c r="F436" s="325">
        <f t="shared" si="8"/>
        <v>7.1308620142545927</v>
      </c>
      <c r="G436" s="326">
        <v>560.94200000000001</v>
      </c>
      <c r="H436" s="182" t="s">
        <v>317</v>
      </c>
      <c r="I436" s="519" t="s">
        <v>2632</v>
      </c>
      <c r="J436" s="182" t="s">
        <v>98</v>
      </c>
      <c r="K436" s="438" t="s">
        <v>1902</v>
      </c>
      <c r="L436" s="182" t="s">
        <v>155</v>
      </c>
    </row>
    <row r="437" spans="1:15" s="433" customFormat="1">
      <c r="A437" s="505">
        <v>45893</v>
      </c>
      <c r="B437" s="182" t="s">
        <v>3049</v>
      </c>
      <c r="C437" s="182" t="s">
        <v>2456</v>
      </c>
      <c r="D437" s="182" t="s">
        <v>121</v>
      </c>
      <c r="E437" s="496">
        <v>75000</v>
      </c>
      <c r="F437" s="325">
        <f t="shared" si="8"/>
        <v>133.70366276727361</v>
      </c>
      <c r="G437" s="326">
        <v>560.94200000000001</v>
      </c>
      <c r="H437" s="182" t="s">
        <v>323</v>
      </c>
      <c r="I437" s="519" t="s">
        <v>2684</v>
      </c>
      <c r="J437" s="182" t="s">
        <v>98</v>
      </c>
      <c r="K437" s="438" t="s">
        <v>1902</v>
      </c>
      <c r="L437" s="182" t="s">
        <v>155</v>
      </c>
    </row>
    <row r="438" spans="1:15" s="433" customFormat="1">
      <c r="A438" s="505">
        <v>45893</v>
      </c>
      <c r="B438" s="182" t="s">
        <v>3057</v>
      </c>
      <c r="C438" s="182" t="s">
        <v>174</v>
      </c>
      <c r="D438" s="182" t="s">
        <v>121</v>
      </c>
      <c r="E438" s="496">
        <v>1000</v>
      </c>
      <c r="F438" s="325">
        <f t="shared" si="8"/>
        <v>1.7827155035636482</v>
      </c>
      <c r="G438" s="326">
        <v>560.94200000000001</v>
      </c>
      <c r="H438" s="182" t="s">
        <v>323</v>
      </c>
      <c r="I438" s="519" t="s">
        <v>2671</v>
      </c>
      <c r="J438" s="182" t="s">
        <v>98</v>
      </c>
      <c r="K438" s="438" t="s">
        <v>1902</v>
      </c>
      <c r="L438" s="182" t="s">
        <v>155</v>
      </c>
    </row>
    <row r="439" spans="1:15" s="433" customFormat="1">
      <c r="A439" s="505">
        <v>45893</v>
      </c>
      <c r="B439" s="182" t="s">
        <v>2667</v>
      </c>
      <c r="C439" s="182" t="s">
        <v>174</v>
      </c>
      <c r="D439" s="182" t="s">
        <v>121</v>
      </c>
      <c r="E439" s="496">
        <v>1000</v>
      </c>
      <c r="F439" s="325">
        <f t="shared" si="8"/>
        <v>1.7827155035636482</v>
      </c>
      <c r="G439" s="326">
        <v>560.94200000000001</v>
      </c>
      <c r="H439" s="182" t="s">
        <v>323</v>
      </c>
      <c r="I439" s="519" t="s">
        <v>2671</v>
      </c>
      <c r="J439" s="182" t="s">
        <v>98</v>
      </c>
      <c r="K439" s="438" t="s">
        <v>1902</v>
      </c>
      <c r="L439" s="182" t="s">
        <v>155</v>
      </c>
    </row>
    <row r="440" spans="1:15" s="433" customFormat="1">
      <c r="A440" s="503">
        <v>45893</v>
      </c>
      <c r="B440" s="182" t="s">
        <v>2789</v>
      </c>
      <c r="C440" s="517" t="s">
        <v>196</v>
      </c>
      <c r="D440" s="517" t="s">
        <v>117</v>
      </c>
      <c r="E440" s="496">
        <v>500</v>
      </c>
      <c r="F440" s="325">
        <f t="shared" si="8"/>
        <v>0.89135775178182408</v>
      </c>
      <c r="G440" s="326">
        <v>560.94200000000001</v>
      </c>
      <c r="H440" s="517" t="s">
        <v>437</v>
      </c>
      <c r="I440" s="182" t="s">
        <v>2817</v>
      </c>
      <c r="J440" s="182" t="s">
        <v>98</v>
      </c>
      <c r="K440" s="438" t="s">
        <v>1902</v>
      </c>
      <c r="L440" s="182" t="s">
        <v>155</v>
      </c>
    </row>
    <row r="441" spans="1:15" s="433" customFormat="1">
      <c r="A441" s="503">
        <v>45893</v>
      </c>
      <c r="B441" s="182" t="s">
        <v>1809</v>
      </c>
      <c r="C441" s="182" t="s">
        <v>1810</v>
      </c>
      <c r="D441" s="517" t="s">
        <v>117</v>
      </c>
      <c r="E441" s="496">
        <v>1400</v>
      </c>
      <c r="F441" s="325">
        <f t="shared" si="8"/>
        <v>2.4958017049891077</v>
      </c>
      <c r="G441" s="326">
        <v>560.94200000000001</v>
      </c>
      <c r="H441" s="517" t="s">
        <v>437</v>
      </c>
      <c r="I441" s="519" t="s">
        <v>2825</v>
      </c>
      <c r="J441" s="182" t="s">
        <v>98</v>
      </c>
      <c r="K441" s="438" t="s">
        <v>1902</v>
      </c>
      <c r="L441" s="182" t="s">
        <v>155</v>
      </c>
    </row>
    <row r="442" spans="1:15" s="433" customFormat="1">
      <c r="A442" s="503">
        <v>45893</v>
      </c>
      <c r="B442" s="182" t="s">
        <v>2790</v>
      </c>
      <c r="C442" s="517" t="s">
        <v>196</v>
      </c>
      <c r="D442" s="517" t="s">
        <v>117</v>
      </c>
      <c r="E442" s="496">
        <v>500</v>
      </c>
      <c r="F442" s="325">
        <f t="shared" si="8"/>
        <v>0.89135775178182408</v>
      </c>
      <c r="G442" s="326">
        <v>560.94200000000001</v>
      </c>
      <c r="H442" s="517" t="s">
        <v>437</v>
      </c>
      <c r="I442" s="519" t="s">
        <v>2817</v>
      </c>
      <c r="J442" s="182" t="s">
        <v>98</v>
      </c>
      <c r="K442" s="438" t="s">
        <v>1902</v>
      </c>
      <c r="L442" s="182" t="s">
        <v>155</v>
      </c>
    </row>
    <row r="443" spans="1:15" s="433" customFormat="1">
      <c r="A443" s="535">
        <v>45894</v>
      </c>
      <c r="B443" s="517" t="s">
        <v>2099</v>
      </c>
      <c r="C443" s="308" t="s">
        <v>174</v>
      </c>
      <c r="D443" s="308" t="s">
        <v>119</v>
      </c>
      <c r="E443" s="517">
        <v>1000</v>
      </c>
      <c r="F443" s="325">
        <f t="shared" si="8"/>
        <v>1.7827155035636482</v>
      </c>
      <c r="G443" s="326">
        <v>560.94200000000001</v>
      </c>
      <c r="H443" s="524" t="s">
        <v>153</v>
      </c>
      <c r="I443" s="530" t="s">
        <v>2494</v>
      </c>
      <c r="J443" s="182" t="s">
        <v>98</v>
      </c>
      <c r="K443" s="438" t="s">
        <v>1902</v>
      </c>
      <c r="L443" s="182" t="s">
        <v>155</v>
      </c>
      <c r="M443" s="550"/>
      <c r="N443" s="550"/>
      <c r="O443" s="550"/>
    </row>
    <row r="444" spans="1:15" s="433" customFormat="1">
      <c r="A444" s="535">
        <v>45894</v>
      </c>
      <c r="B444" s="517" t="s">
        <v>2100</v>
      </c>
      <c r="C444" s="308" t="s">
        <v>174</v>
      </c>
      <c r="D444" s="308" t="s">
        <v>119</v>
      </c>
      <c r="E444" s="517">
        <v>1000</v>
      </c>
      <c r="F444" s="325">
        <f t="shared" si="8"/>
        <v>1.7827155035636482</v>
      </c>
      <c r="G444" s="326">
        <v>560.94200000000001</v>
      </c>
      <c r="H444" s="524" t="s">
        <v>153</v>
      </c>
      <c r="I444" s="530" t="s">
        <v>2494</v>
      </c>
      <c r="J444" s="182" t="s">
        <v>98</v>
      </c>
      <c r="K444" s="438" t="s">
        <v>1902</v>
      </c>
      <c r="L444" s="182" t="s">
        <v>155</v>
      </c>
      <c r="M444" s="550"/>
      <c r="N444" s="550"/>
      <c r="O444" s="550"/>
    </row>
    <row r="445" spans="1:15" s="433" customFormat="1">
      <c r="A445" s="536">
        <v>45894</v>
      </c>
      <c r="B445" s="516" t="s">
        <v>2476</v>
      </c>
      <c r="C445" s="516" t="s">
        <v>174</v>
      </c>
      <c r="D445" s="516" t="s">
        <v>117</v>
      </c>
      <c r="E445" s="526">
        <v>500</v>
      </c>
      <c r="F445" s="325">
        <f t="shared" si="8"/>
        <v>0.89135775178182408</v>
      </c>
      <c r="G445" s="326">
        <v>560.94200000000001</v>
      </c>
      <c r="H445" s="177" t="s">
        <v>200</v>
      </c>
      <c r="I445" s="516" t="s">
        <v>2489</v>
      </c>
      <c r="J445" s="182" t="s">
        <v>98</v>
      </c>
      <c r="K445" s="438" t="s">
        <v>1902</v>
      </c>
      <c r="L445" s="182" t="s">
        <v>155</v>
      </c>
      <c r="M445" s="550"/>
      <c r="N445" s="550"/>
      <c r="O445" s="550"/>
    </row>
    <row r="446" spans="1:15" s="433" customFormat="1">
      <c r="A446" s="536">
        <v>45894</v>
      </c>
      <c r="B446" s="516" t="s">
        <v>2477</v>
      </c>
      <c r="C446" s="516" t="s">
        <v>174</v>
      </c>
      <c r="D446" s="516" t="s">
        <v>117</v>
      </c>
      <c r="E446" s="526">
        <v>2000</v>
      </c>
      <c r="F446" s="325">
        <f t="shared" si="8"/>
        <v>3.5654310071272963</v>
      </c>
      <c r="G446" s="326">
        <v>560.94200000000001</v>
      </c>
      <c r="H446" s="177" t="s">
        <v>200</v>
      </c>
      <c r="I446" s="531" t="s">
        <v>2489</v>
      </c>
      <c r="J446" s="182" t="s">
        <v>98</v>
      </c>
      <c r="K446" s="438" t="s">
        <v>1902</v>
      </c>
      <c r="L446" s="182" t="s">
        <v>155</v>
      </c>
      <c r="M446" s="550"/>
      <c r="N446" s="550"/>
      <c r="O446" s="550"/>
    </row>
    <row r="447" spans="1:15" s="433" customFormat="1">
      <c r="A447" s="467">
        <v>45894</v>
      </c>
      <c r="B447" s="177" t="s">
        <v>2478</v>
      </c>
      <c r="C447" s="177" t="s">
        <v>2456</v>
      </c>
      <c r="D447" s="177" t="s">
        <v>2479</v>
      </c>
      <c r="E447" s="527">
        <v>10000</v>
      </c>
      <c r="F447" s="325">
        <f t="shared" si="8"/>
        <v>17.827155035636483</v>
      </c>
      <c r="G447" s="326">
        <v>560.94200000000001</v>
      </c>
      <c r="H447" s="177" t="s">
        <v>200</v>
      </c>
      <c r="I447" s="531" t="s">
        <v>2985</v>
      </c>
      <c r="J447" s="182" t="s">
        <v>98</v>
      </c>
      <c r="K447" s="438" t="s">
        <v>1902</v>
      </c>
      <c r="L447" s="182" t="s">
        <v>155</v>
      </c>
      <c r="M447" s="550"/>
      <c r="N447" s="550"/>
      <c r="O447" s="550"/>
    </row>
    <row r="448" spans="1:15" s="433" customFormat="1">
      <c r="A448" s="536">
        <v>45894</v>
      </c>
      <c r="B448" s="516" t="s">
        <v>2468</v>
      </c>
      <c r="C448" s="516" t="s">
        <v>174</v>
      </c>
      <c r="D448" s="516" t="s">
        <v>117</v>
      </c>
      <c r="E448" s="526">
        <v>500</v>
      </c>
      <c r="F448" s="325">
        <f t="shared" si="8"/>
        <v>0.89135775178182408</v>
      </c>
      <c r="G448" s="326">
        <v>560.94200000000001</v>
      </c>
      <c r="H448" s="177" t="s">
        <v>200</v>
      </c>
      <c r="I448" s="516" t="s">
        <v>2489</v>
      </c>
      <c r="J448" s="182" t="s">
        <v>98</v>
      </c>
      <c r="K448" s="438" t="s">
        <v>1902</v>
      </c>
      <c r="L448" s="182" t="s">
        <v>155</v>
      </c>
      <c r="M448" s="550"/>
      <c r="N448" s="550"/>
      <c r="O448" s="550"/>
    </row>
    <row r="449" spans="1:15" s="433" customFormat="1">
      <c r="A449" s="504">
        <v>45894</v>
      </c>
      <c r="B449" s="182" t="s">
        <v>2530</v>
      </c>
      <c r="C449" s="182" t="s">
        <v>174</v>
      </c>
      <c r="D449" s="182" t="s">
        <v>118</v>
      </c>
      <c r="E449" s="435">
        <v>1000</v>
      </c>
      <c r="F449" s="325">
        <f t="shared" si="8"/>
        <v>1.7827155035636482</v>
      </c>
      <c r="G449" s="326">
        <v>560.94200000000001</v>
      </c>
      <c r="H449" s="182" t="s">
        <v>583</v>
      </c>
      <c r="I449" s="519" t="s">
        <v>2536</v>
      </c>
      <c r="J449" s="182" t="s">
        <v>98</v>
      </c>
      <c r="K449" s="438" t="s">
        <v>1902</v>
      </c>
      <c r="L449" s="182" t="s">
        <v>155</v>
      </c>
      <c r="M449" s="550"/>
      <c r="N449" s="550"/>
      <c r="O449" s="550"/>
    </row>
    <row r="450" spans="1:15" s="433" customFormat="1">
      <c r="A450" s="504">
        <v>45894</v>
      </c>
      <c r="B450" s="182" t="s">
        <v>2531</v>
      </c>
      <c r="C450" s="182" t="s">
        <v>174</v>
      </c>
      <c r="D450" s="182" t="s">
        <v>118</v>
      </c>
      <c r="E450" s="435">
        <v>1000</v>
      </c>
      <c r="F450" s="325">
        <f t="shared" si="8"/>
        <v>1.7827155035636482</v>
      </c>
      <c r="G450" s="326">
        <v>560.94200000000001</v>
      </c>
      <c r="H450" s="182" t="s">
        <v>583</v>
      </c>
      <c r="I450" s="182" t="s">
        <v>2536</v>
      </c>
      <c r="J450" s="182" t="s">
        <v>98</v>
      </c>
      <c r="K450" s="438" t="s">
        <v>1902</v>
      </c>
      <c r="L450" s="182" t="s">
        <v>155</v>
      </c>
      <c r="M450" s="550"/>
      <c r="N450" s="550"/>
      <c r="O450" s="550"/>
    </row>
    <row r="451" spans="1:15" s="433" customFormat="1">
      <c r="A451" s="504">
        <v>45894</v>
      </c>
      <c r="B451" s="182" t="s">
        <v>2532</v>
      </c>
      <c r="C451" s="182" t="s">
        <v>174</v>
      </c>
      <c r="D451" s="182" t="s">
        <v>118</v>
      </c>
      <c r="E451" s="435">
        <v>1000</v>
      </c>
      <c r="F451" s="325">
        <f t="shared" si="8"/>
        <v>1.7827155035636482</v>
      </c>
      <c r="G451" s="326">
        <v>560.94200000000001</v>
      </c>
      <c r="H451" s="182" t="s">
        <v>583</v>
      </c>
      <c r="I451" s="182" t="s">
        <v>2536</v>
      </c>
      <c r="J451" s="182" t="s">
        <v>98</v>
      </c>
      <c r="K451" s="438" t="s">
        <v>1902</v>
      </c>
      <c r="L451" s="182" t="s">
        <v>155</v>
      </c>
      <c r="M451" s="550"/>
      <c r="N451" s="550"/>
      <c r="O451" s="550"/>
    </row>
    <row r="452" spans="1:15" s="433" customFormat="1">
      <c r="A452" s="506">
        <v>45894</v>
      </c>
      <c r="B452" s="522" t="s">
        <v>2408</v>
      </c>
      <c r="C452" s="522" t="s">
        <v>182</v>
      </c>
      <c r="D452" s="522" t="s">
        <v>118</v>
      </c>
      <c r="E452" s="523">
        <v>12985</v>
      </c>
      <c r="F452" s="325">
        <f t="shared" si="8"/>
        <v>23.148560813773972</v>
      </c>
      <c r="G452" s="326">
        <v>560.94200000000001</v>
      </c>
      <c r="H452" s="522" t="s">
        <v>583</v>
      </c>
      <c r="I452" s="519" t="s">
        <v>2409</v>
      </c>
      <c r="J452" s="182" t="s">
        <v>98</v>
      </c>
      <c r="K452" s="438" t="s">
        <v>1902</v>
      </c>
      <c r="L452" s="182" t="s">
        <v>155</v>
      </c>
      <c r="M452" s="550"/>
      <c r="N452" s="550"/>
      <c r="O452" s="550"/>
    </row>
    <row r="453" spans="1:15" s="433" customFormat="1">
      <c r="A453" s="467">
        <v>45894</v>
      </c>
      <c r="B453" s="177" t="s">
        <v>3027</v>
      </c>
      <c r="C453" s="177" t="s">
        <v>177</v>
      </c>
      <c r="D453" s="177" t="s">
        <v>121</v>
      </c>
      <c r="E453" s="177">
        <v>135000</v>
      </c>
      <c r="F453" s="325">
        <f t="shared" si="8"/>
        <v>240.66659298109252</v>
      </c>
      <c r="G453" s="326">
        <v>560.94200000000001</v>
      </c>
      <c r="H453" s="177" t="s">
        <v>184</v>
      </c>
      <c r="I453" s="177" t="s">
        <v>2571</v>
      </c>
      <c r="J453" s="182" t="s">
        <v>98</v>
      </c>
      <c r="K453" s="438" t="s">
        <v>1902</v>
      </c>
      <c r="L453" s="182" t="s">
        <v>155</v>
      </c>
    </row>
    <row r="454" spans="1:15" s="433" customFormat="1">
      <c r="A454" s="467">
        <v>45894</v>
      </c>
      <c r="B454" s="511" t="s">
        <v>3028</v>
      </c>
      <c r="C454" s="511" t="s">
        <v>174</v>
      </c>
      <c r="D454" s="511" t="s">
        <v>121</v>
      </c>
      <c r="E454" s="511">
        <v>350000</v>
      </c>
      <c r="F454" s="325">
        <f t="shared" si="8"/>
        <v>623.95042624727694</v>
      </c>
      <c r="G454" s="326">
        <v>560.94200000000001</v>
      </c>
      <c r="H454" s="511" t="s">
        <v>184</v>
      </c>
      <c r="I454" s="511" t="s">
        <v>2572</v>
      </c>
      <c r="J454" s="182" t="s">
        <v>98</v>
      </c>
      <c r="K454" s="438" t="s">
        <v>1902</v>
      </c>
      <c r="L454" s="182" t="s">
        <v>155</v>
      </c>
    </row>
    <row r="455" spans="1:15" s="433" customFormat="1">
      <c r="A455" s="467">
        <v>45894</v>
      </c>
      <c r="B455" s="177" t="s">
        <v>3044</v>
      </c>
      <c r="C455" s="177" t="s">
        <v>174</v>
      </c>
      <c r="D455" s="177" t="s">
        <v>121</v>
      </c>
      <c r="E455" s="177">
        <v>1000</v>
      </c>
      <c r="F455" s="325">
        <f t="shared" si="8"/>
        <v>1.7827155035636482</v>
      </c>
      <c r="G455" s="326">
        <v>560.94200000000001</v>
      </c>
      <c r="H455" s="177" t="s">
        <v>184</v>
      </c>
      <c r="I455" s="177" t="s">
        <v>2558</v>
      </c>
      <c r="J455" s="182" t="s">
        <v>98</v>
      </c>
      <c r="K455" s="438" t="s">
        <v>1902</v>
      </c>
      <c r="L455" s="182" t="s">
        <v>155</v>
      </c>
    </row>
    <row r="456" spans="1:15" s="433" customFormat="1">
      <c r="A456" s="503">
        <v>45894</v>
      </c>
      <c r="B456" s="182" t="s">
        <v>2791</v>
      </c>
      <c r="C456" s="517" t="s">
        <v>196</v>
      </c>
      <c r="D456" s="517" t="s">
        <v>117</v>
      </c>
      <c r="E456" s="496">
        <v>500</v>
      </c>
      <c r="F456" s="325">
        <f t="shared" si="8"/>
        <v>0.89135775178182408</v>
      </c>
      <c r="G456" s="326">
        <v>560.94200000000001</v>
      </c>
      <c r="H456" s="517" t="s">
        <v>437</v>
      </c>
      <c r="I456" s="519" t="s">
        <v>2817</v>
      </c>
      <c r="J456" s="182" t="s">
        <v>98</v>
      </c>
      <c r="K456" s="438" t="s">
        <v>1902</v>
      </c>
      <c r="L456" s="182" t="s">
        <v>155</v>
      </c>
    </row>
    <row r="457" spans="1:15" s="433" customFormat="1">
      <c r="A457" s="503">
        <v>45894</v>
      </c>
      <c r="B457" s="182" t="s">
        <v>1089</v>
      </c>
      <c r="C457" s="517" t="s">
        <v>196</v>
      </c>
      <c r="D457" s="517" t="s">
        <v>2479</v>
      </c>
      <c r="E457" s="496">
        <v>25000</v>
      </c>
      <c r="F457" s="325">
        <f t="shared" si="8"/>
        <v>44.567887589091207</v>
      </c>
      <c r="G457" s="326">
        <v>560.94200000000001</v>
      </c>
      <c r="H457" s="517" t="s">
        <v>437</v>
      </c>
      <c r="I457" s="182" t="s">
        <v>2826</v>
      </c>
      <c r="J457" s="182" t="s">
        <v>98</v>
      </c>
      <c r="K457" s="438" t="s">
        <v>1902</v>
      </c>
      <c r="L457" s="182" t="s">
        <v>155</v>
      </c>
    </row>
    <row r="458" spans="1:15" s="433" customFormat="1">
      <c r="A458" s="503">
        <v>45894</v>
      </c>
      <c r="B458" s="182" t="s">
        <v>2941</v>
      </c>
      <c r="C458" s="517" t="s">
        <v>177</v>
      </c>
      <c r="D458" s="517" t="s">
        <v>117</v>
      </c>
      <c r="E458" s="496">
        <v>23250</v>
      </c>
      <c r="F458" s="325">
        <f t="shared" si="8"/>
        <v>41.448135457854825</v>
      </c>
      <c r="G458" s="326">
        <v>560.94200000000001</v>
      </c>
      <c r="H458" s="517" t="s">
        <v>437</v>
      </c>
      <c r="I458" s="182" t="s">
        <v>2827</v>
      </c>
      <c r="J458" s="182" t="s">
        <v>98</v>
      </c>
      <c r="K458" s="438" t="s">
        <v>1902</v>
      </c>
      <c r="L458" s="182" t="s">
        <v>155</v>
      </c>
    </row>
    <row r="459" spans="1:15" s="433" customFormat="1">
      <c r="A459" s="503">
        <v>45894</v>
      </c>
      <c r="B459" s="182" t="s">
        <v>2792</v>
      </c>
      <c r="C459" s="517" t="s">
        <v>196</v>
      </c>
      <c r="D459" s="517" t="s">
        <v>117</v>
      </c>
      <c r="E459" s="496">
        <v>500</v>
      </c>
      <c r="F459" s="325">
        <f t="shared" si="8"/>
        <v>0.89135775178182408</v>
      </c>
      <c r="G459" s="326">
        <v>560.94200000000001</v>
      </c>
      <c r="H459" s="517" t="s">
        <v>437</v>
      </c>
      <c r="I459" s="519" t="s">
        <v>2817</v>
      </c>
      <c r="J459" s="182" t="s">
        <v>98</v>
      </c>
      <c r="K459" s="438" t="s">
        <v>1902</v>
      </c>
      <c r="L459" s="182" t="s">
        <v>155</v>
      </c>
    </row>
    <row r="460" spans="1:15" s="433" customFormat="1">
      <c r="A460" s="503">
        <v>45894</v>
      </c>
      <c r="B460" s="182" t="s">
        <v>2793</v>
      </c>
      <c r="C460" s="517" t="s">
        <v>196</v>
      </c>
      <c r="D460" s="517" t="s">
        <v>117</v>
      </c>
      <c r="E460" s="496">
        <v>500</v>
      </c>
      <c r="F460" s="325">
        <f t="shared" si="8"/>
        <v>0.89135775178182408</v>
      </c>
      <c r="G460" s="326">
        <v>560.94200000000001</v>
      </c>
      <c r="H460" s="517" t="s">
        <v>437</v>
      </c>
      <c r="I460" s="519" t="s">
        <v>2817</v>
      </c>
      <c r="J460" s="182" t="s">
        <v>98</v>
      </c>
      <c r="K460" s="438" t="s">
        <v>1902</v>
      </c>
      <c r="L460" s="182" t="s">
        <v>155</v>
      </c>
    </row>
    <row r="461" spans="1:15" s="433" customFormat="1">
      <c r="A461" s="503">
        <v>45894</v>
      </c>
      <c r="B461" s="182" t="s">
        <v>2794</v>
      </c>
      <c r="C461" s="182" t="s">
        <v>313</v>
      </c>
      <c r="D461" s="517" t="s">
        <v>117</v>
      </c>
      <c r="E461" s="496">
        <v>1500</v>
      </c>
      <c r="F461" s="325">
        <f t="shared" si="8"/>
        <v>2.6740732553454722</v>
      </c>
      <c r="G461" s="326">
        <v>560.94200000000001</v>
      </c>
      <c r="H461" s="517" t="s">
        <v>437</v>
      </c>
      <c r="I461" s="519" t="s">
        <v>2828</v>
      </c>
      <c r="J461" s="182" t="s">
        <v>98</v>
      </c>
      <c r="K461" s="438" t="s">
        <v>1902</v>
      </c>
      <c r="L461" s="182" t="s">
        <v>155</v>
      </c>
    </row>
    <row r="462" spans="1:15" s="433" customFormat="1">
      <c r="A462" s="503">
        <v>45894</v>
      </c>
      <c r="B462" s="182" t="s">
        <v>2795</v>
      </c>
      <c r="C462" s="517" t="s">
        <v>196</v>
      </c>
      <c r="D462" s="517" t="s">
        <v>117</v>
      </c>
      <c r="E462" s="496">
        <v>500</v>
      </c>
      <c r="F462" s="325">
        <f t="shared" si="8"/>
        <v>0.89135775178182408</v>
      </c>
      <c r="G462" s="326">
        <v>560.94200000000001</v>
      </c>
      <c r="H462" s="517" t="s">
        <v>437</v>
      </c>
      <c r="I462" s="519" t="s">
        <v>2817</v>
      </c>
      <c r="J462" s="182" t="s">
        <v>98</v>
      </c>
      <c r="K462" s="438" t="s">
        <v>1902</v>
      </c>
      <c r="L462" s="182" t="s">
        <v>155</v>
      </c>
    </row>
    <row r="463" spans="1:15" s="433" customFormat="1">
      <c r="A463" s="505">
        <v>45894</v>
      </c>
      <c r="B463" s="182" t="s">
        <v>2843</v>
      </c>
      <c r="C463" s="182" t="s">
        <v>174</v>
      </c>
      <c r="D463" s="182" t="s">
        <v>120</v>
      </c>
      <c r="E463" s="496">
        <v>500</v>
      </c>
      <c r="F463" s="325">
        <f t="shared" ref="F463:F478" si="9">E463/G463</f>
        <v>0.89135775178182408</v>
      </c>
      <c r="G463" s="326">
        <v>560.94200000000001</v>
      </c>
      <c r="H463" s="182" t="s">
        <v>213</v>
      </c>
      <c r="I463" s="182" t="s">
        <v>2853</v>
      </c>
      <c r="J463" s="182" t="s">
        <v>98</v>
      </c>
      <c r="K463" s="438" t="s">
        <v>1902</v>
      </c>
      <c r="L463" s="182" t="s">
        <v>155</v>
      </c>
    </row>
    <row r="464" spans="1:15" s="433" customFormat="1">
      <c r="A464" s="505">
        <v>45894</v>
      </c>
      <c r="B464" s="182" t="s">
        <v>2844</v>
      </c>
      <c r="C464" s="182" t="s">
        <v>174</v>
      </c>
      <c r="D464" s="182" t="s">
        <v>120</v>
      </c>
      <c r="E464" s="496">
        <v>500</v>
      </c>
      <c r="F464" s="325">
        <f t="shared" si="9"/>
        <v>0.89135775178182408</v>
      </c>
      <c r="G464" s="326">
        <v>560.94200000000001</v>
      </c>
      <c r="H464" s="182" t="s">
        <v>213</v>
      </c>
      <c r="I464" s="182" t="s">
        <v>2853</v>
      </c>
      <c r="J464" s="182" t="s">
        <v>98</v>
      </c>
      <c r="K464" s="438" t="s">
        <v>1902</v>
      </c>
      <c r="L464" s="182" t="s">
        <v>155</v>
      </c>
    </row>
    <row r="465" spans="1:15" s="433" customFormat="1">
      <c r="A465" s="505">
        <v>45894</v>
      </c>
      <c r="B465" s="182" t="s">
        <v>2845</v>
      </c>
      <c r="C465" s="182" t="s">
        <v>177</v>
      </c>
      <c r="D465" s="182" t="s">
        <v>120</v>
      </c>
      <c r="E465" s="496">
        <v>10000</v>
      </c>
      <c r="F465" s="325">
        <f t="shared" si="9"/>
        <v>17.827155035636483</v>
      </c>
      <c r="G465" s="326">
        <v>560.94200000000001</v>
      </c>
      <c r="H465" s="182" t="s">
        <v>213</v>
      </c>
      <c r="I465" s="519" t="s">
        <v>2863</v>
      </c>
      <c r="J465" s="182" t="s">
        <v>98</v>
      </c>
      <c r="K465" s="438" t="s">
        <v>1902</v>
      </c>
      <c r="L465" s="182" t="s">
        <v>155</v>
      </c>
    </row>
    <row r="466" spans="1:15" s="433" customFormat="1">
      <c r="A466" s="505">
        <v>45894</v>
      </c>
      <c r="B466" s="182" t="s">
        <v>2846</v>
      </c>
      <c r="C466" s="182" t="s">
        <v>174</v>
      </c>
      <c r="D466" s="182" t="s">
        <v>120</v>
      </c>
      <c r="E466" s="496">
        <v>500</v>
      </c>
      <c r="F466" s="325">
        <f t="shared" si="9"/>
        <v>0.89135775178182408</v>
      </c>
      <c r="G466" s="326">
        <v>560.94200000000001</v>
      </c>
      <c r="H466" s="182" t="s">
        <v>213</v>
      </c>
      <c r="I466" s="519" t="s">
        <v>2853</v>
      </c>
      <c r="J466" s="182" t="s">
        <v>98</v>
      </c>
      <c r="K466" s="438" t="s">
        <v>1902</v>
      </c>
      <c r="L466" s="182" t="s">
        <v>155</v>
      </c>
    </row>
    <row r="467" spans="1:15" s="433" customFormat="1">
      <c r="A467" s="506">
        <v>45894</v>
      </c>
      <c r="B467" s="182" t="s">
        <v>2402</v>
      </c>
      <c r="C467" s="182" t="s">
        <v>1542</v>
      </c>
      <c r="D467" s="182" t="s">
        <v>118</v>
      </c>
      <c r="E467" s="435">
        <v>35000</v>
      </c>
      <c r="F467" s="325">
        <f t="shared" si="9"/>
        <v>62.395042624727687</v>
      </c>
      <c r="G467" s="326">
        <v>560.94200000000001</v>
      </c>
      <c r="H467" s="182" t="s">
        <v>187</v>
      </c>
      <c r="I467" s="182" t="s">
        <v>2403</v>
      </c>
      <c r="J467" s="182" t="s">
        <v>98</v>
      </c>
      <c r="K467" s="438" t="s">
        <v>1902</v>
      </c>
      <c r="L467" s="182" t="s">
        <v>155</v>
      </c>
    </row>
    <row r="468" spans="1:15" s="433" customFormat="1">
      <c r="A468" s="506">
        <v>45894</v>
      </c>
      <c r="B468" s="182" t="s">
        <v>2404</v>
      </c>
      <c r="C468" s="182" t="s">
        <v>304</v>
      </c>
      <c r="D468" s="182" t="s">
        <v>118</v>
      </c>
      <c r="E468" s="435">
        <v>5000</v>
      </c>
      <c r="F468" s="325">
        <f t="shared" si="9"/>
        <v>8.9135775178182417</v>
      </c>
      <c r="G468" s="326">
        <v>560.94200000000001</v>
      </c>
      <c r="H468" s="182" t="s">
        <v>187</v>
      </c>
      <c r="I468" s="519" t="s">
        <v>2405</v>
      </c>
      <c r="J468" s="182" t="s">
        <v>98</v>
      </c>
      <c r="K468" s="438" t="s">
        <v>1902</v>
      </c>
      <c r="L468" s="182" t="s">
        <v>155</v>
      </c>
    </row>
    <row r="469" spans="1:15" s="546" customFormat="1">
      <c r="A469" s="508">
        <v>45894</v>
      </c>
      <c r="B469" s="367" t="s">
        <v>2897</v>
      </c>
      <c r="C469" s="182" t="s">
        <v>127</v>
      </c>
      <c r="D469" s="182" t="s">
        <v>118</v>
      </c>
      <c r="E469" s="435">
        <v>258800</v>
      </c>
      <c r="F469" s="325">
        <f t="shared" si="9"/>
        <v>461.3667723222722</v>
      </c>
      <c r="G469" s="326">
        <v>560.94200000000001</v>
      </c>
      <c r="H469" s="182" t="s">
        <v>148</v>
      </c>
      <c r="I469" s="519" t="s">
        <v>2919</v>
      </c>
      <c r="J469" s="182" t="s">
        <v>98</v>
      </c>
      <c r="K469" s="438" t="s">
        <v>1902</v>
      </c>
      <c r="L469" s="182" t="s">
        <v>155</v>
      </c>
      <c r="M469" s="433"/>
      <c r="N469" s="433"/>
      <c r="O469" s="433"/>
    </row>
    <row r="470" spans="1:15" s="433" customFormat="1">
      <c r="A470" s="508">
        <v>45894</v>
      </c>
      <c r="B470" s="367" t="s">
        <v>2898</v>
      </c>
      <c r="C470" s="182" t="s">
        <v>127</v>
      </c>
      <c r="D470" s="445" t="s">
        <v>117</v>
      </c>
      <c r="E470" s="435">
        <v>228800</v>
      </c>
      <c r="F470" s="325">
        <f t="shared" si="9"/>
        <v>407.88530721536273</v>
      </c>
      <c r="G470" s="326">
        <v>560.94200000000001</v>
      </c>
      <c r="H470" s="182" t="s">
        <v>148</v>
      </c>
      <c r="I470" s="182" t="s">
        <v>2920</v>
      </c>
      <c r="J470" s="182" t="s">
        <v>98</v>
      </c>
      <c r="K470" s="438" t="s">
        <v>1902</v>
      </c>
      <c r="L470" s="182" t="s">
        <v>155</v>
      </c>
    </row>
    <row r="471" spans="1:15" s="433" customFormat="1">
      <c r="A471" s="508">
        <v>45894</v>
      </c>
      <c r="B471" s="367" t="s">
        <v>2899</v>
      </c>
      <c r="C471" s="439" t="s">
        <v>127</v>
      </c>
      <c r="D471" s="444" t="s">
        <v>117</v>
      </c>
      <c r="E471" s="435">
        <v>228800</v>
      </c>
      <c r="F471" s="325">
        <f t="shared" si="9"/>
        <v>407.88530721536273</v>
      </c>
      <c r="G471" s="326">
        <v>560.94200000000001</v>
      </c>
      <c r="H471" s="182" t="s">
        <v>148</v>
      </c>
      <c r="I471" s="182" t="s">
        <v>2921</v>
      </c>
      <c r="J471" s="182" t="s">
        <v>98</v>
      </c>
      <c r="K471" s="438" t="s">
        <v>1902</v>
      </c>
      <c r="L471" s="182" t="s">
        <v>155</v>
      </c>
    </row>
    <row r="472" spans="1:15" s="433" customFormat="1">
      <c r="A472" s="508">
        <v>45894</v>
      </c>
      <c r="B472" s="367" t="s">
        <v>2900</v>
      </c>
      <c r="C472" s="439" t="s">
        <v>127</v>
      </c>
      <c r="D472" s="444" t="s">
        <v>117</v>
      </c>
      <c r="E472" s="435">
        <v>390827</v>
      </c>
      <c r="F472" s="325">
        <f t="shared" si="9"/>
        <v>696.73335211126994</v>
      </c>
      <c r="G472" s="326">
        <v>560.94200000000001</v>
      </c>
      <c r="H472" s="182" t="s">
        <v>148</v>
      </c>
      <c r="I472" s="182" t="s">
        <v>2922</v>
      </c>
      <c r="J472" s="182" t="s">
        <v>98</v>
      </c>
      <c r="K472" s="438" t="s">
        <v>1902</v>
      </c>
      <c r="L472" s="182" t="s">
        <v>155</v>
      </c>
    </row>
    <row r="473" spans="1:15" s="433" customFormat="1">
      <c r="A473" s="508">
        <v>45894</v>
      </c>
      <c r="B473" s="367" t="s">
        <v>2901</v>
      </c>
      <c r="C473" s="182" t="s">
        <v>127</v>
      </c>
      <c r="D473" s="439" t="s">
        <v>117</v>
      </c>
      <c r="E473" s="435">
        <v>328000</v>
      </c>
      <c r="F473" s="325">
        <f t="shared" si="9"/>
        <v>584.73068516887668</v>
      </c>
      <c r="G473" s="326">
        <v>560.94200000000001</v>
      </c>
      <c r="H473" s="182" t="s">
        <v>148</v>
      </c>
      <c r="I473" s="182" t="s">
        <v>2923</v>
      </c>
      <c r="J473" s="182" t="s">
        <v>98</v>
      </c>
      <c r="K473" s="438" t="s">
        <v>1902</v>
      </c>
      <c r="L473" s="182" t="s">
        <v>155</v>
      </c>
    </row>
    <row r="474" spans="1:15" s="433" customFormat="1">
      <c r="A474" s="508">
        <v>45894</v>
      </c>
      <c r="B474" s="367" t="s">
        <v>2902</v>
      </c>
      <c r="C474" s="182" t="s">
        <v>127</v>
      </c>
      <c r="D474" s="439" t="s">
        <v>120</v>
      </c>
      <c r="E474" s="435">
        <v>266940</v>
      </c>
      <c r="F474" s="325">
        <f t="shared" si="9"/>
        <v>475.87807652128026</v>
      </c>
      <c r="G474" s="326">
        <v>560.94200000000001</v>
      </c>
      <c r="H474" s="182" t="s">
        <v>148</v>
      </c>
      <c r="I474" s="182" t="s">
        <v>2924</v>
      </c>
      <c r="J474" s="182" t="s">
        <v>98</v>
      </c>
      <c r="K474" s="438" t="s">
        <v>1902</v>
      </c>
      <c r="L474" s="182" t="s">
        <v>155</v>
      </c>
    </row>
    <row r="475" spans="1:15" s="433" customFormat="1">
      <c r="A475" s="508">
        <v>45894</v>
      </c>
      <c r="B475" s="367" t="s">
        <v>2903</v>
      </c>
      <c r="C475" s="182" t="s">
        <v>127</v>
      </c>
      <c r="D475" s="182" t="s">
        <v>117</v>
      </c>
      <c r="E475" s="435">
        <v>228800</v>
      </c>
      <c r="F475" s="325">
        <f t="shared" si="9"/>
        <v>407.88530721536273</v>
      </c>
      <c r="G475" s="326">
        <v>560.94200000000001</v>
      </c>
      <c r="H475" s="182" t="s">
        <v>148</v>
      </c>
      <c r="I475" s="182" t="s">
        <v>2925</v>
      </c>
      <c r="J475" s="182" t="s">
        <v>98</v>
      </c>
      <c r="K475" s="438" t="s">
        <v>1902</v>
      </c>
      <c r="L475" s="182" t="s">
        <v>155</v>
      </c>
    </row>
    <row r="476" spans="1:15" s="433" customFormat="1">
      <c r="A476" s="508">
        <v>45894</v>
      </c>
      <c r="B476" s="367" t="s">
        <v>2904</v>
      </c>
      <c r="C476" s="439" t="s">
        <v>127</v>
      </c>
      <c r="D476" s="444" t="s">
        <v>119</v>
      </c>
      <c r="E476" s="435">
        <v>1311000</v>
      </c>
      <c r="F476" s="325">
        <f t="shared" si="9"/>
        <v>2337.1400251719429</v>
      </c>
      <c r="G476" s="326">
        <v>560.94200000000001</v>
      </c>
      <c r="H476" s="182" t="s">
        <v>148</v>
      </c>
      <c r="I476" s="182" t="s">
        <v>2926</v>
      </c>
      <c r="J476" s="182" t="s">
        <v>98</v>
      </c>
      <c r="K476" s="438" t="s">
        <v>1902</v>
      </c>
      <c r="L476" s="182" t="s">
        <v>155</v>
      </c>
    </row>
    <row r="477" spans="1:15" s="433" customFormat="1">
      <c r="A477" s="508">
        <v>45894</v>
      </c>
      <c r="B477" s="367" t="s">
        <v>2906</v>
      </c>
      <c r="C477" s="182" t="s">
        <v>128</v>
      </c>
      <c r="D477" s="439" t="s">
        <v>118</v>
      </c>
      <c r="E477" s="435">
        <v>10665</v>
      </c>
      <c r="F477" s="325">
        <f t="shared" si="9"/>
        <v>19.012660845506307</v>
      </c>
      <c r="G477" s="326">
        <v>560.94200000000001</v>
      </c>
      <c r="H477" s="182" t="s">
        <v>148</v>
      </c>
      <c r="I477" s="182" t="s">
        <v>2927</v>
      </c>
      <c r="J477" s="182" t="s">
        <v>98</v>
      </c>
      <c r="K477" s="438" t="s">
        <v>1902</v>
      </c>
      <c r="L477" s="182" t="s">
        <v>155</v>
      </c>
    </row>
    <row r="478" spans="1:15" s="433" customFormat="1">
      <c r="A478" s="535">
        <v>45895</v>
      </c>
      <c r="B478" s="517" t="s">
        <v>2099</v>
      </c>
      <c r="C478" s="308" t="s">
        <v>174</v>
      </c>
      <c r="D478" s="308" t="s">
        <v>119</v>
      </c>
      <c r="E478" s="517">
        <v>1000</v>
      </c>
      <c r="F478" s="325">
        <f t="shared" si="9"/>
        <v>1.7827155035636482</v>
      </c>
      <c r="G478" s="326">
        <v>560.94200000000001</v>
      </c>
      <c r="H478" s="524" t="s">
        <v>153</v>
      </c>
      <c r="I478" s="525" t="s">
        <v>2494</v>
      </c>
      <c r="J478" s="182" t="s">
        <v>98</v>
      </c>
      <c r="K478" s="438" t="s">
        <v>1902</v>
      </c>
      <c r="L478" s="182" t="s">
        <v>155</v>
      </c>
      <c r="M478" s="550"/>
      <c r="N478" s="550"/>
      <c r="O478" s="550"/>
    </row>
    <row r="479" spans="1:15" s="433" customFormat="1">
      <c r="A479" s="535">
        <v>45895</v>
      </c>
      <c r="B479" s="517" t="s">
        <v>2100</v>
      </c>
      <c r="C479" s="308" t="s">
        <v>174</v>
      </c>
      <c r="D479" s="308" t="s">
        <v>119</v>
      </c>
      <c r="E479" s="517">
        <v>1000</v>
      </c>
      <c r="F479" s="325"/>
      <c r="G479" s="326">
        <v>560.94200000000001</v>
      </c>
      <c r="H479" s="524" t="s">
        <v>153</v>
      </c>
      <c r="I479" s="525" t="s">
        <v>2494</v>
      </c>
      <c r="J479" s="182" t="s">
        <v>98</v>
      </c>
      <c r="K479" s="438" t="s">
        <v>1902</v>
      </c>
      <c r="L479" s="182" t="s">
        <v>155</v>
      </c>
      <c r="M479" s="551"/>
      <c r="N479" s="550"/>
      <c r="O479" s="550"/>
    </row>
    <row r="480" spans="1:15" s="433" customFormat="1">
      <c r="A480" s="536">
        <v>45895</v>
      </c>
      <c r="B480" s="516" t="s">
        <v>2480</v>
      </c>
      <c r="C480" s="516" t="s">
        <v>174</v>
      </c>
      <c r="D480" s="516" t="s">
        <v>117</v>
      </c>
      <c r="E480" s="526">
        <v>500</v>
      </c>
      <c r="F480" s="325">
        <f t="shared" ref="F480:F527" si="10">E480/G480</f>
        <v>0.89135775178182408</v>
      </c>
      <c r="G480" s="326">
        <v>560.94200000000001</v>
      </c>
      <c r="H480" s="177" t="s">
        <v>200</v>
      </c>
      <c r="I480" s="516" t="s">
        <v>2489</v>
      </c>
      <c r="J480" s="182" t="s">
        <v>98</v>
      </c>
      <c r="K480" s="438" t="s">
        <v>1902</v>
      </c>
      <c r="L480" s="182" t="s">
        <v>155</v>
      </c>
      <c r="M480" s="550"/>
      <c r="N480" s="550"/>
      <c r="O480" s="550"/>
    </row>
    <row r="481" spans="1:15" s="433" customFormat="1">
      <c r="A481" s="467">
        <v>45895</v>
      </c>
      <c r="B481" s="177" t="s">
        <v>2481</v>
      </c>
      <c r="C481" s="177" t="s">
        <v>2456</v>
      </c>
      <c r="D481" s="177" t="s">
        <v>2479</v>
      </c>
      <c r="E481" s="527">
        <v>160000</v>
      </c>
      <c r="F481" s="325">
        <f t="shared" si="10"/>
        <v>285.23448057018373</v>
      </c>
      <c r="G481" s="326">
        <v>560.94200000000001</v>
      </c>
      <c r="H481" s="177" t="s">
        <v>200</v>
      </c>
      <c r="I481" s="516" t="s">
        <v>2986</v>
      </c>
      <c r="J481" s="182" t="s">
        <v>98</v>
      </c>
      <c r="K481" s="438" t="s">
        <v>1902</v>
      </c>
      <c r="L481" s="182" t="s">
        <v>155</v>
      </c>
      <c r="M481" s="550"/>
      <c r="N481" s="550"/>
      <c r="O481" s="550"/>
    </row>
    <row r="482" spans="1:15" s="433" customFormat="1">
      <c r="A482" s="467">
        <v>45895</v>
      </c>
      <c r="B482" s="177" t="s">
        <v>2482</v>
      </c>
      <c r="C482" s="177" t="s">
        <v>2456</v>
      </c>
      <c r="D482" s="177" t="s">
        <v>2479</v>
      </c>
      <c r="E482" s="527">
        <v>20000</v>
      </c>
      <c r="F482" s="325">
        <f t="shared" si="10"/>
        <v>35.654310071272967</v>
      </c>
      <c r="G482" s="326">
        <v>560.94200000000001</v>
      </c>
      <c r="H482" s="177" t="s">
        <v>200</v>
      </c>
      <c r="I482" s="516" t="s">
        <v>2987</v>
      </c>
      <c r="J482" s="182" t="s">
        <v>98</v>
      </c>
      <c r="K482" s="438" t="s">
        <v>1902</v>
      </c>
      <c r="L482" s="182" t="s">
        <v>155</v>
      </c>
      <c r="M482" s="550"/>
      <c r="N482" s="550"/>
      <c r="O482" s="550"/>
    </row>
    <row r="483" spans="1:15" s="433" customFormat="1">
      <c r="A483" s="536">
        <v>45895</v>
      </c>
      <c r="B483" s="516" t="s">
        <v>2483</v>
      </c>
      <c r="C483" s="516" t="s">
        <v>174</v>
      </c>
      <c r="D483" s="516" t="s">
        <v>117</v>
      </c>
      <c r="E483" s="526">
        <v>500</v>
      </c>
      <c r="F483" s="325">
        <f t="shared" si="10"/>
        <v>0.89135775178182408</v>
      </c>
      <c r="G483" s="326">
        <v>560.94200000000001</v>
      </c>
      <c r="H483" s="177" t="s">
        <v>200</v>
      </c>
      <c r="I483" s="516" t="s">
        <v>2489</v>
      </c>
      <c r="J483" s="182" t="s">
        <v>98</v>
      </c>
      <c r="K483" s="438" t="s">
        <v>1902</v>
      </c>
      <c r="L483" s="182" t="s">
        <v>155</v>
      </c>
      <c r="M483" s="550"/>
      <c r="N483" s="550"/>
      <c r="O483" s="550"/>
    </row>
    <row r="484" spans="1:15" s="433" customFormat="1">
      <c r="A484" s="504">
        <v>45895</v>
      </c>
      <c r="B484" s="182" t="s">
        <v>2533</v>
      </c>
      <c r="C484" s="182" t="s">
        <v>174</v>
      </c>
      <c r="D484" s="182" t="s">
        <v>118</v>
      </c>
      <c r="E484" s="435">
        <v>500</v>
      </c>
      <c r="F484" s="325">
        <f t="shared" si="10"/>
        <v>0.89135775178182408</v>
      </c>
      <c r="G484" s="326">
        <v>560.94200000000001</v>
      </c>
      <c r="H484" s="182" t="s">
        <v>583</v>
      </c>
      <c r="I484" s="182" t="s">
        <v>2536</v>
      </c>
      <c r="J484" s="182" t="s">
        <v>98</v>
      </c>
      <c r="K484" s="438" t="s">
        <v>1902</v>
      </c>
      <c r="L484" s="182" t="s">
        <v>155</v>
      </c>
      <c r="M484" s="550"/>
      <c r="N484" s="550"/>
      <c r="O484" s="550"/>
    </row>
    <row r="485" spans="1:15" s="433" customFormat="1">
      <c r="A485" s="504">
        <v>45895</v>
      </c>
      <c r="B485" s="182" t="s">
        <v>2524</v>
      </c>
      <c r="C485" s="182" t="s">
        <v>174</v>
      </c>
      <c r="D485" s="182" t="s">
        <v>118</v>
      </c>
      <c r="E485" s="435">
        <v>500</v>
      </c>
      <c r="F485" s="325">
        <f t="shared" si="10"/>
        <v>0.89135775178182408</v>
      </c>
      <c r="G485" s="326">
        <v>560.94200000000001</v>
      </c>
      <c r="H485" s="182" t="s">
        <v>583</v>
      </c>
      <c r="I485" s="182" t="s">
        <v>2536</v>
      </c>
      <c r="J485" s="182" t="s">
        <v>98</v>
      </c>
      <c r="K485" s="438" t="s">
        <v>1902</v>
      </c>
      <c r="L485" s="182" t="s">
        <v>155</v>
      </c>
      <c r="M485" s="315"/>
      <c r="N485" s="315"/>
      <c r="O485" s="550"/>
    </row>
    <row r="486" spans="1:15" s="433" customFormat="1">
      <c r="A486" s="467">
        <v>45895</v>
      </c>
      <c r="B486" s="177" t="s">
        <v>3026</v>
      </c>
      <c r="C486" s="177" t="s">
        <v>177</v>
      </c>
      <c r="D486" s="177" t="s">
        <v>121</v>
      </c>
      <c r="E486" s="177">
        <v>75000</v>
      </c>
      <c r="F486" s="325">
        <f t="shared" si="10"/>
        <v>133.70366276727361</v>
      </c>
      <c r="G486" s="326">
        <v>560.94200000000001</v>
      </c>
      <c r="H486" s="177" t="s">
        <v>184</v>
      </c>
      <c r="I486" s="177" t="s">
        <v>2574</v>
      </c>
      <c r="J486" s="182" t="s">
        <v>98</v>
      </c>
      <c r="K486" s="438" t="s">
        <v>1902</v>
      </c>
      <c r="L486" s="182" t="s">
        <v>155</v>
      </c>
    </row>
    <row r="487" spans="1:15" s="433" customFormat="1">
      <c r="A487" s="467">
        <v>45895</v>
      </c>
      <c r="B487" s="177" t="s">
        <v>3027</v>
      </c>
      <c r="C487" s="177" t="s">
        <v>177</v>
      </c>
      <c r="D487" s="177" t="s">
        <v>121</v>
      </c>
      <c r="E487" s="177">
        <v>75000</v>
      </c>
      <c r="F487" s="325">
        <f t="shared" si="10"/>
        <v>133.70366276727361</v>
      </c>
      <c r="G487" s="326">
        <v>560.94200000000001</v>
      </c>
      <c r="H487" s="177" t="s">
        <v>184</v>
      </c>
      <c r="I487" s="177" t="s">
        <v>2575</v>
      </c>
      <c r="J487" s="182" t="s">
        <v>98</v>
      </c>
      <c r="K487" s="438" t="s">
        <v>1902</v>
      </c>
      <c r="L487" s="182" t="s">
        <v>155</v>
      </c>
    </row>
    <row r="488" spans="1:15" s="433" customFormat="1">
      <c r="A488" s="505">
        <v>45895</v>
      </c>
      <c r="B488" s="182" t="s">
        <v>3013</v>
      </c>
      <c r="C488" s="182" t="s">
        <v>174</v>
      </c>
      <c r="D488" s="177" t="s">
        <v>121</v>
      </c>
      <c r="E488" s="182">
        <v>500</v>
      </c>
      <c r="F488" s="325">
        <f t="shared" si="10"/>
        <v>0.89135775178182408</v>
      </c>
      <c r="G488" s="326">
        <v>560.94200000000001</v>
      </c>
      <c r="H488" s="182" t="s">
        <v>175</v>
      </c>
      <c r="I488" s="182" t="s">
        <v>2588</v>
      </c>
      <c r="J488" s="182" t="s">
        <v>98</v>
      </c>
      <c r="K488" s="438" t="s">
        <v>1902</v>
      </c>
      <c r="L488" s="182" t="s">
        <v>155</v>
      </c>
    </row>
    <row r="489" spans="1:15" s="433" customFormat="1">
      <c r="A489" s="505">
        <v>45895</v>
      </c>
      <c r="B489" s="182" t="s">
        <v>3023</v>
      </c>
      <c r="C489" s="182" t="s">
        <v>174</v>
      </c>
      <c r="D489" s="177" t="s">
        <v>121</v>
      </c>
      <c r="E489" s="182">
        <v>500</v>
      </c>
      <c r="F489" s="325">
        <f t="shared" si="10"/>
        <v>0.89135775178182408</v>
      </c>
      <c r="G489" s="326">
        <v>560.94200000000001</v>
      </c>
      <c r="H489" s="182" t="s">
        <v>175</v>
      </c>
      <c r="I489" s="182" t="s">
        <v>2588</v>
      </c>
      <c r="J489" s="182" t="s">
        <v>98</v>
      </c>
      <c r="K489" s="438" t="s">
        <v>1902</v>
      </c>
      <c r="L489" s="182" t="s">
        <v>155</v>
      </c>
    </row>
    <row r="490" spans="1:15" s="433" customFormat="1">
      <c r="A490" s="506">
        <v>45895</v>
      </c>
      <c r="B490" s="182" t="s">
        <v>2418</v>
      </c>
      <c r="C490" s="182" t="s">
        <v>172</v>
      </c>
      <c r="D490" s="182" t="s">
        <v>2241</v>
      </c>
      <c r="E490" s="435">
        <v>25000</v>
      </c>
      <c r="F490" s="325">
        <f t="shared" si="10"/>
        <v>44.567887589091207</v>
      </c>
      <c r="G490" s="326">
        <v>560.94200000000001</v>
      </c>
      <c r="H490" s="182" t="s">
        <v>190</v>
      </c>
      <c r="I490" s="182" t="s">
        <v>2419</v>
      </c>
      <c r="J490" s="182" t="s">
        <v>98</v>
      </c>
      <c r="K490" s="438" t="s">
        <v>1902</v>
      </c>
      <c r="L490" s="182" t="s">
        <v>155</v>
      </c>
    </row>
    <row r="491" spans="1:15" s="433" customFormat="1">
      <c r="A491" s="503">
        <v>45895</v>
      </c>
      <c r="B491" s="182" t="s">
        <v>2796</v>
      </c>
      <c r="C491" s="517" t="s">
        <v>196</v>
      </c>
      <c r="D491" s="517" t="s">
        <v>117</v>
      </c>
      <c r="E491" s="496">
        <v>500</v>
      </c>
      <c r="F491" s="325">
        <f t="shared" si="10"/>
        <v>0.89135775178182408</v>
      </c>
      <c r="G491" s="326">
        <v>560.94200000000001</v>
      </c>
      <c r="H491" s="517" t="s">
        <v>437</v>
      </c>
      <c r="I491" s="182" t="s">
        <v>2817</v>
      </c>
      <c r="J491" s="182" t="s">
        <v>98</v>
      </c>
      <c r="K491" s="438" t="s">
        <v>1902</v>
      </c>
      <c r="L491" s="182" t="s">
        <v>155</v>
      </c>
    </row>
    <row r="492" spans="1:15" s="433" customFormat="1">
      <c r="A492" s="503">
        <v>45895</v>
      </c>
      <c r="B492" s="182" t="s">
        <v>2797</v>
      </c>
      <c r="C492" s="182" t="s">
        <v>313</v>
      </c>
      <c r="D492" s="517" t="s">
        <v>117</v>
      </c>
      <c r="E492" s="496">
        <v>1500</v>
      </c>
      <c r="F492" s="325">
        <f t="shared" si="10"/>
        <v>2.6740732553454722</v>
      </c>
      <c r="G492" s="326">
        <v>560.94200000000001</v>
      </c>
      <c r="H492" s="517" t="s">
        <v>437</v>
      </c>
      <c r="I492" s="182" t="s">
        <v>2828</v>
      </c>
      <c r="J492" s="182" t="s">
        <v>98</v>
      </c>
      <c r="K492" s="438" t="s">
        <v>1902</v>
      </c>
      <c r="L492" s="182" t="s">
        <v>155</v>
      </c>
    </row>
    <row r="493" spans="1:15" s="433" customFormat="1">
      <c r="A493" s="503">
        <v>45895</v>
      </c>
      <c r="B493" s="182" t="s">
        <v>2795</v>
      </c>
      <c r="C493" s="517" t="s">
        <v>196</v>
      </c>
      <c r="D493" s="517" t="s">
        <v>117</v>
      </c>
      <c r="E493" s="496">
        <v>500</v>
      </c>
      <c r="F493" s="325">
        <f t="shared" si="10"/>
        <v>0.89135775178182408</v>
      </c>
      <c r="G493" s="326">
        <v>560.94200000000001</v>
      </c>
      <c r="H493" s="517" t="s">
        <v>437</v>
      </c>
      <c r="I493" s="182" t="s">
        <v>2817</v>
      </c>
      <c r="J493" s="182" t="s">
        <v>98</v>
      </c>
      <c r="K493" s="438" t="s">
        <v>1902</v>
      </c>
      <c r="L493" s="182" t="s">
        <v>155</v>
      </c>
    </row>
    <row r="494" spans="1:15" s="433" customFormat="1">
      <c r="A494" s="503">
        <v>45895</v>
      </c>
      <c r="B494" s="182" t="s">
        <v>2798</v>
      </c>
      <c r="C494" s="517" t="s">
        <v>196</v>
      </c>
      <c r="D494" s="517" t="s">
        <v>117</v>
      </c>
      <c r="E494" s="496">
        <v>500</v>
      </c>
      <c r="F494" s="325">
        <f t="shared" si="10"/>
        <v>0.89135775178182408</v>
      </c>
      <c r="G494" s="326">
        <v>560.94200000000001</v>
      </c>
      <c r="H494" s="517" t="s">
        <v>437</v>
      </c>
      <c r="I494" s="182" t="s">
        <v>2817</v>
      </c>
      <c r="J494" s="182" t="s">
        <v>98</v>
      </c>
      <c r="K494" s="438" t="s">
        <v>1902</v>
      </c>
      <c r="L494" s="182" t="s">
        <v>155</v>
      </c>
    </row>
    <row r="495" spans="1:15" s="433" customFormat="1">
      <c r="A495" s="503">
        <v>45895</v>
      </c>
      <c r="B495" s="182" t="s">
        <v>2799</v>
      </c>
      <c r="C495" s="517" t="s">
        <v>196</v>
      </c>
      <c r="D495" s="517" t="s">
        <v>117</v>
      </c>
      <c r="E495" s="496">
        <v>500</v>
      </c>
      <c r="F495" s="325">
        <f t="shared" si="10"/>
        <v>0.89135775178182408</v>
      </c>
      <c r="G495" s="326">
        <v>560.94200000000001</v>
      </c>
      <c r="H495" s="517" t="s">
        <v>437</v>
      </c>
      <c r="I495" s="182" t="s">
        <v>2817</v>
      </c>
      <c r="J495" s="182" t="s">
        <v>98</v>
      </c>
      <c r="K495" s="438" t="s">
        <v>1902</v>
      </c>
      <c r="L495" s="182" t="s">
        <v>155</v>
      </c>
    </row>
    <row r="496" spans="1:15" s="433" customFormat="1">
      <c r="A496" s="503">
        <v>45895</v>
      </c>
      <c r="B496" s="182" t="s">
        <v>2800</v>
      </c>
      <c r="C496" s="517" t="s">
        <v>196</v>
      </c>
      <c r="D496" s="517" t="s">
        <v>117</v>
      </c>
      <c r="E496" s="496">
        <v>500</v>
      </c>
      <c r="F496" s="325">
        <f t="shared" si="10"/>
        <v>0.89135775178182408</v>
      </c>
      <c r="G496" s="326">
        <v>560.94200000000001</v>
      </c>
      <c r="H496" s="517" t="s">
        <v>437</v>
      </c>
      <c r="I496" s="182" t="s">
        <v>2817</v>
      </c>
      <c r="J496" s="182" t="s">
        <v>98</v>
      </c>
      <c r="K496" s="438" t="s">
        <v>1902</v>
      </c>
      <c r="L496" s="182" t="s">
        <v>155</v>
      </c>
    </row>
    <row r="497" spans="1:51" s="433" customFormat="1">
      <c r="A497" s="503">
        <v>45895</v>
      </c>
      <c r="B497" s="182" t="s">
        <v>2794</v>
      </c>
      <c r="C497" s="182" t="s">
        <v>313</v>
      </c>
      <c r="D497" s="517" t="s">
        <v>117</v>
      </c>
      <c r="E497" s="496">
        <v>1500</v>
      </c>
      <c r="F497" s="325">
        <f t="shared" si="10"/>
        <v>2.6740732553454722</v>
      </c>
      <c r="G497" s="326">
        <v>560.94200000000001</v>
      </c>
      <c r="H497" s="517" t="s">
        <v>437</v>
      </c>
      <c r="I497" s="182" t="s">
        <v>2828</v>
      </c>
      <c r="J497" s="182" t="s">
        <v>98</v>
      </c>
      <c r="K497" s="438" t="s">
        <v>1902</v>
      </c>
      <c r="L497" s="182" t="s">
        <v>155</v>
      </c>
    </row>
    <row r="498" spans="1:51" s="433" customFormat="1">
      <c r="A498" s="503">
        <v>45895</v>
      </c>
      <c r="B498" s="182" t="s">
        <v>2795</v>
      </c>
      <c r="C498" s="517" t="s">
        <v>196</v>
      </c>
      <c r="D498" s="517" t="s">
        <v>117</v>
      </c>
      <c r="E498" s="496">
        <v>500</v>
      </c>
      <c r="F498" s="325">
        <f t="shared" si="10"/>
        <v>0.89135775178182408</v>
      </c>
      <c r="G498" s="326">
        <v>560.94200000000001</v>
      </c>
      <c r="H498" s="517" t="s">
        <v>437</v>
      </c>
      <c r="I498" s="182" t="s">
        <v>2817</v>
      </c>
      <c r="J498" s="182" t="s">
        <v>98</v>
      </c>
      <c r="K498" s="438" t="s">
        <v>1902</v>
      </c>
      <c r="L498" s="182" t="s">
        <v>155</v>
      </c>
    </row>
    <row r="499" spans="1:51" s="433" customFormat="1">
      <c r="A499" s="505">
        <v>45895</v>
      </c>
      <c r="B499" s="182" t="s">
        <v>2847</v>
      </c>
      <c r="C499" s="182" t="s">
        <v>174</v>
      </c>
      <c r="D499" s="182" t="s">
        <v>120</v>
      </c>
      <c r="E499" s="496">
        <v>500</v>
      </c>
      <c r="F499" s="325">
        <f t="shared" si="10"/>
        <v>0.89135775178182408</v>
      </c>
      <c r="G499" s="326">
        <v>560.94200000000001</v>
      </c>
      <c r="H499" s="182" t="s">
        <v>213</v>
      </c>
      <c r="I499" s="182" t="s">
        <v>2853</v>
      </c>
      <c r="J499" s="182" t="s">
        <v>98</v>
      </c>
      <c r="K499" s="438" t="s">
        <v>1902</v>
      </c>
      <c r="L499" s="182" t="s">
        <v>155</v>
      </c>
      <c r="M499" s="548"/>
      <c r="N499" s="548"/>
      <c r="O499" s="548"/>
      <c r="P499" s="548"/>
      <c r="Q499" s="548"/>
      <c r="R499" s="548"/>
      <c r="S499" s="548"/>
      <c r="T499" s="548"/>
      <c r="U499" s="548"/>
      <c r="V499" s="548"/>
      <c r="W499" s="548"/>
      <c r="X499" s="548"/>
      <c r="Y499" s="548"/>
      <c r="Z499" s="548"/>
      <c r="AA499" s="548"/>
      <c r="AB499" s="548"/>
      <c r="AC499" s="548"/>
      <c r="AD499" s="548"/>
      <c r="AE499" s="548"/>
      <c r="AF499" s="548">
        <f ca="1">AF499</f>
        <v>0</v>
      </c>
      <c r="AG499" s="548"/>
      <c r="AH499" s="548"/>
      <c r="AI499" s="548"/>
      <c r="AJ499" s="548"/>
      <c r="AK499" s="548"/>
      <c r="AL499" s="548"/>
      <c r="AM499" s="548"/>
      <c r="AN499" s="548"/>
      <c r="AO499" s="548"/>
      <c r="AP499" s="548"/>
      <c r="AQ499" s="548"/>
      <c r="AR499" s="548"/>
      <c r="AS499" s="548"/>
      <c r="AT499" s="548"/>
      <c r="AU499" s="548"/>
      <c r="AV499" s="548"/>
      <c r="AW499" s="548"/>
      <c r="AX499" s="548"/>
      <c r="AY499" s="548"/>
    </row>
    <row r="500" spans="1:51" s="433" customFormat="1">
      <c r="A500" s="505">
        <v>45895</v>
      </c>
      <c r="B500" s="182" t="s">
        <v>2848</v>
      </c>
      <c r="C500" s="182" t="s">
        <v>174</v>
      </c>
      <c r="D500" s="182" t="s">
        <v>120</v>
      </c>
      <c r="E500" s="496">
        <v>500</v>
      </c>
      <c r="F500" s="325">
        <f t="shared" si="10"/>
        <v>0.89135775178182408</v>
      </c>
      <c r="G500" s="326">
        <v>560.94200000000001</v>
      </c>
      <c r="H500" s="182" t="s">
        <v>213</v>
      </c>
      <c r="I500" s="182" t="s">
        <v>2853</v>
      </c>
      <c r="J500" s="182" t="s">
        <v>98</v>
      </c>
      <c r="K500" s="438" t="s">
        <v>1902</v>
      </c>
      <c r="L500" s="182" t="s">
        <v>155</v>
      </c>
      <c r="M500" s="548"/>
      <c r="N500" s="548"/>
      <c r="O500" s="548"/>
      <c r="P500" s="548"/>
      <c r="Q500" s="548"/>
      <c r="R500" s="548"/>
      <c r="S500" s="548"/>
      <c r="T500" s="548"/>
      <c r="U500" s="548"/>
      <c r="V500" s="548"/>
      <c r="W500" s="548"/>
      <c r="X500" s="548"/>
      <c r="Y500" s="548"/>
      <c r="Z500" s="548"/>
      <c r="AA500" s="548"/>
      <c r="AB500" s="548"/>
      <c r="AC500" s="548"/>
      <c r="AD500" s="548"/>
      <c r="AE500" s="548"/>
      <c r="AF500" s="548"/>
      <c r="AG500" s="548"/>
      <c r="AH500" s="548"/>
      <c r="AI500" s="548"/>
      <c r="AJ500" s="548"/>
      <c r="AK500" s="548"/>
      <c r="AL500" s="548"/>
      <c r="AM500" s="548"/>
      <c r="AN500" s="548"/>
      <c r="AO500" s="548"/>
      <c r="AP500" s="548"/>
      <c r="AQ500" s="548"/>
      <c r="AR500" s="548"/>
      <c r="AS500" s="548"/>
      <c r="AT500" s="548"/>
      <c r="AU500" s="548"/>
      <c r="AV500" s="548"/>
      <c r="AW500" s="548"/>
      <c r="AX500" s="548"/>
      <c r="AY500" s="548"/>
    </row>
    <row r="501" spans="1:51" s="433" customFormat="1">
      <c r="A501" s="505">
        <v>45895</v>
      </c>
      <c r="B501" s="182" t="s">
        <v>2849</v>
      </c>
      <c r="C501" s="182" t="s">
        <v>174</v>
      </c>
      <c r="D501" s="182" t="s">
        <v>120</v>
      </c>
      <c r="E501" s="496">
        <v>500</v>
      </c>
      <c r="F501" s="325">
        <f t="shared" si="10"/>
        <v>0.89135775178182408</v>
      </c>
      <c r="G501" s="326">
        <v>560.94200000000001</v>
      </c>
      <c r="H501" s="182" t="s">
        <v>213</v>
      </c>
      <c r="I501" s="182" t="s">
        <v>2853</v>
      </c>
      <c r="J501" s="182" t="s">
        <v>98</v>
      </c>
      <c r="K501" s="438" t="s">
        <v>1902</v>
      </c>
      <c r="L501" s="182" t="s">
        <v>155</v>
      </c>
      <c r="M501" s="548"/>
      <c r="N501" s="548"/>
      <c r="O501" s="548"/>
      <c r="P501" s="548"/>
      <c r="Q501" s="548"/>
      <c r="R501" s="548"/>
      <c r="S501" s="548"/>
      <c r="T501" s="548"/>
      <c r="U501" s="548"/>
      <c r="V501" s="548"/>
      <c r="W501" s="548"/>
      <c r="X501" s="548"/>
      <c r="Y501" s="548"/>
      <c r="Z501" s="548"/>
      <c r="AA501" s="548"/>
      <c r="AB501" s="548"/>
      <c r="AC501" s="548"/>
      <c r="AD501" s="548"/>
      <c r="AE501" s="548"/>
      <c r="AF501" s="548"/>
      <c r="AG501" s="548"/>
      <c r="AH501" s="548"/>
      <c r="AI501" s="548"/>
      <c r="AJ501" s="548"/>
      <c r="AK501" s="548"/>
      <c r="AL501" s="548"/>
      <c r="AM501" s="548"/>
      <c r="AN501" s="548"/>
      <c r="AO501" s="548"/>
      <c r="AP501" s="548"/>
      <c r="AQ501" s="548"/>
      <c r="AR501" s="548"/>
      <c r="AS501" s="548"/>
      <c r="AT501" s="548"/>
      <c r="AU501" s="548"/>
      <c r="AV501" s="548"/>
      <c r="AW501" s="548"/>
      <c r="AX501" s="548"/>
      <c r="AY501" s="548"/>
    </row>
    <row r="502" spans="1:51" s="433" customFormat="1">
      <c r="A502" s="505">
        <v>45895</v>
      </c>
      <c r="B502" s="182" t="s">
        <v>2846</v>
      </c>
      <c r="C502" s="182" t="s">
        <v>174</v>
      </c>
      <c r="D502" s="182" t="s">
        <v>120</v>
      </c>
      <c r="E502" s="496">
        <v>500</v>
      </c>
      <c r="F502" s="325">
        <f t="shared" si="10"/>
        <v>0.89135775178182408</v>
      </c>
      <c r="G502" s="326">
        <v>560.94200000000001</v>
      </c>
      <c r="H502" s="182" t="s">
        <v>213</v>
      </c>
      <c r="I502" s="182" t="s">
        <v>2853</v>
      </c>
      <c r="J502" s="182" t="s">
        <v>98</v>
      </c>
      <c r="K502" s="438" t="s">
        <v>1902</v>
      </c>
      <c r="L502" s="182" t="s">
        <v>155</v>
      </c>
      <c r="M502" s="548"/>
      <c r="N502" s="548"/>
      <c r="O502" s="548"/>
      <c r="P502" s="548"/>
      <c r="Q502" s="548"/>
      <c r="R502" s="548"/>
      <c r="S502" s="548"/>
      <c r="T502" s="548"/>
      <c r="U502" s="548"/>
      <c r="V502" s="548"/>
      <c r="W502" s="548"/>
      <c r="X502" s="548"/>
      <c r="Y502" s="548"/>
      <c r="Z502" s="548"/>
      <c r="AA502" s="548"/>
      <c r="AB502" s="548"/>
      <c r="AC502" s="548"/>
      <c r="AD502" s="548"/>
      <c r="AE502" s="548"/>
      <c r="AF502" s="548"/>
      <c r="AG502" s="548"/>
      <c r="AH502" s="548"/>
      <c r="AI502" s="548"/>
      <c r="AJ502" s="548"/>
      <c r="AK502" s="548"/>
      <c r="AL502" s="548"/>
      <c r="AM502" s="548"/>
      <c r="AN502" s="548"/>
      <c r="AO502" s="548"/>
      <c r="AP502" s="548"/>
      <c r="AQ502" s="548"/>
      <c r="AR502" s="548"/>
      <c r="AS502" s="548"/>
      <c r="AT502" s="548"/>
      <c r="AU502" s="548"/>
      <c r="AV502" s="548"/>
      <c r="AW502" s="548"/>
      <c r="AX502" s="548"/>
      <c r="AY502" s="548"/>
    </row>
    <row r="503" spans="1:51" s="433" customFormat="1">
      <c r="A503" s="506">
        <v>45895</v>
      </c>
      <c r="B503" s="182" t="s">
        <v>2956</v>
      </c>
      <c r="C503" s="182" t="s">
        <v>2088</v>
      </c>
      <c r="D503" s="182" t="s">
        <v>120</v>
      </c>
      <c r="E503" s="435">
        <v>6000</v>
      </c>
      <c r="F503" s="325">
        <f t="shared" si="10"/>
        <v>10.696293021381889</v>
      </c>
      <c r="G503" s="326">
        <v>560.94200000000001</v>
      </c>
      <c r="H503" s="182" t="s">
        <v>213</v>
      </c>
      <c r="I503" s="182" t="s">
        <v>2411</v>
      </c>
      <c r="J503" s="182" t="s">
        <v>98</v>
      </c>
      <c r="K503" s="438" t="s">
        <v>1902</v>
      </c>
      <c r="L503" s="182" t="s">
        <v>155</v>
      </c>
      <c r="M503" s="548"/>
      <c r="N503" s="548"/>
      <c r="O503" s="548"/>
      <c r="P503" s="548"/>
      <c r="Q503" s="548"/>
      <c r="R503" s="548"/>
      <c r="S503" s="548"/>
      <c r="T503" s="548"/>
      <c r="U503" s="548"/>
      <c r="V503" s="548"/>
      <c r="W503" s="548"/>
      <c r="X503" s="548"/>
      <c r="Y503" s="548"/>
      <c r="Z503" s="548"/>
      <c r="AA503" s="548"/>
      <c r="AB503" s="548"/>
      <c r="AC503" s="548"/>
      <c r="AD503" s="548"/>
      <c r="AE503" s="548"/>
      <c r="AF503" s="548"/>
      <c r="AG503" s="548"/>
      <c r="AH503" s="548"/>
      <c r="AI503" s="548"/>
      <c r="AJ503" s="548"/>
      <c r="AK503" s="548"/>
      <c r="AL503" s="548"/>
      <c r="AM503" s="548"/>
      <c r="AN503" s="548"/>
      <c r="AO503" s="548"/>
      <c r="AP503" s="548"/>
      <c r="AQ503" s="548"/>
      <c r="AR503" s="548"/>
      <c r="AS503" s="548"/>
      <c r="AT503" s="548"/>
      <c r="AU503" s="548"/>
      <c r="AV503" s="548"/>
      <c r="AW503" s="548"/>
      <c r="AX503" s="548"/>
      <c r="AY503" s="548"/>
    </row>
    <row r="504" spans="1:51" s="433" customFormat="1">
      <c r="A504" s="505">
        <v>45895</v>
      </c>
      <c r="B504" s="182" t="s">
        <v>2957</v>
      </c>
      <c r="C504" s="182" t="s">
        <v>2088</v>
      </c>
      <c r="D504" s="182" t="s">
        <v>120</v>
      </c>
      <c r="E504" s="435">
        <v>6000</v>
      </c>
      <c r="F504" s="325">
        <f t="shared" si="10"/>
        <v>10.696293021381889</v>
      </c>
      <c r="G504" s="326">
        <v>560.94200000000001</v>
      </c>
      <c r="H504" s="182" t="s">
        <v>213</v>
      </c>
      <c r="I504" s="182" t="s">
        <v>2411</v>
      </c>
      <c r="J504" s="182" t="s">
        <v>98</v>
      </c>
      <c r="K504" s="438" t="s">
        <v>1902</v>
      </c>
      <c r="L504" s="182" t="s">
        <v>155</v>
      </c>
      <c r="M504" s="548"/>
      <c r="N504" s="548"/>
      <c r="O504" s="548"/>
      <c r="P504" s="548"/>
      <c r="Q504" s="548"/>
      <c r="R504" s="548"/>
      <c r="S504" s="548"/>
      <c r="T504" s="548"/>
      <c r="U504" s="548"/>
      <c r="V504" s="548"/>
      <c r="W504" s="548"/>
      <c r="X504" s="548"/>
      <c r="Y504" s="548"/>
      <c r="Z504" s="548"/>
      <c r="AA504" s="548"/>
      <c r="AB504" s="548"/>
      <c r="AC504" s="548"/>
      <c r="AD504" s="548"/>
      <c r="AE504" s="548"/>
      <c r="AF504" s="548"/>
      <c r="AG504" s="548"/>
      <c r="AH504" s="548"/>
      <c r="AI504" s="548"/>
      <c r="AJ504" s="548"/>
      <c r="AK504" s="548"/>
      <c r="AL504" s="548"/>
      <c r="AM504" s="548"/>
      <c r="AN504" s="548"/>
      <c r="AO504" s="548"/>
      <c r="AP504" s="548"/>
      <c r="AQ504" s="548"/>
      <c r="AR504" s="548"/>
      <c r="AS504" s="548"/>
      <c r="AT504" s="548"/>
      <c r="AU504" s="548"/>
      <c r="AV504" s="548"/>
      <c r="AW504" s="548"/>
      <c r="AX504" s="548"/>
      <c r="AY504" s="548"/>
    </row>
    <row r="505" spans="1:51" s="433" customFormat="1">
      <c r="A505" s="506">
        <v>45895</v>
      </c>
      <c r="B505" s="182" t="s">
        <v>2958</v>
      </c>
      <c r="C505" s="182" t="s">
        <v>2088</v>
      </c>
      <c r="D505" s="182" t="s">
        <v>120</v>
      </c>
      <c r="E505" s="435">
        <v>6000</v>
      </c>
      <c r="F505" s="325">
        <f t="shared" si="10"/>
        <v>10.696293021381889</v>
      </c>
      <c r="G505" s="326">
        <v>560.94200000000001</v>
      </c>
      <c r="H505" s="182" t="s">
        <v>213</v>
      </c>
      <c r="I505" s="182" t="s">
        <v>2411</v>
      </c>
      <c r="J505" s="182" t="s">
        <v>98</v>
      </c>
      <c r="K505" s="438" t="s">
        <v>1902</v>
      </c>
      <c r="L505" s="182" t="s">
        <v>155</v>
      </c>
      <c r="M505" s="548"/>
      <c r="N505" s="548"/>
      <c r="O505" s="548"/>
      <c r="P505" s="548"/>
      <c r="Q505" s="548"/>
      <c r="R505" s="548"/>
      <c r="S505" s="548"/>
      <c r="T505" s="548"/>
      <c r="U505" s="548"/>
      <c r="V505" s="548"/>
      <c r="W505" s="548"/>
      <c r="X505" s="548"/>
      <c r="Y505" s="548"/>
      <c r="Z505" s="548"/>
      <c r="AA505" s="548"/>
      <c r="AB505" s="548"/>
      <c r="AC505" s="548"/>
      <c r="AD505" s="548"/>
      <c r="AE505" s="548"/>
      <c r="AF505" s="548"/>
      <c r="AG505" s="548"/>
      <c r="AH505" s="548"/>
      <c r="AI505" s="548"/>
      <c r="AJ505" s="548"/>
      <c r="AK505" s="548"/>
      <c r="AL505" s="548"/>
      <c r="AM505" s="548"/>
      <c r="AN505" s="548"/>
      <c r="AO505" s="548"/>
      <c r="AP505" s="548"/>
      <c r="AQ505" s="548"/>
      <c r="AR505" s="548"/>
      <c r="AS505" s="548"/>
      <c r="AT505" s="548"/>
      <c r="AU505" s="548"/>
      <c r="AV505" s="548"/>
      <c r="AW505" s="548"/>
      <c r="AX505" s="548"/>
      <c r="AY505" s="548"/>
    </row>
    <row r="506" spans="1:51" s="433" customFormat="1">
      <c r="A506" s="505">
        <v>45895</v>
      </c>
      <c r="B506" s="182" t="s">
        <v>2959</v>
      </c>
      <c r="C506" s="182" t="s">
        <v>2088</v>
      </c>
      <c r="D506" s="182" t="s">
        <v>120</v>
      </c>
      <c r="E506" s="435">
        <v>6000</v>
      </c>
      <c r="F506" s="325">
        <f t="shared" si="10"/>
        <v>10.696293021381889</v>
      </c>
      <c r="G506" s="326">
        <v>560.94200000000001</v>
      </c>
      <c r="H506" s="182" t="s">
        <v>213</v>
      </c>
      <c r="I506" s="182" t="s">
        <v>2411</v>
      </c>
      <c r="J506" s="182" t="s">
        <v>98</v>
      </c>
      <c r="K506" s="438" t="s">
        <v>1902</v>
      </c>
      <c r="L506" s="182" t="s">
        <v>155</v>
      </c>
      <c r="M506" s="548"/>
      <c r="N506" s="548"/>
      <c r="O506" s="548"/>
      <c r="P506" s="548"/>
      <c r="Q506" s="548"/>
      <c r="R506" s="548"/>
      <c r="S506" s="548"/>
      <c r="T506" s="548"/>
      <c r="U506" s="548"/>
      <c r="V506" s="548"/>
      <c r="W506" s="548"/>
      <c r="X506" s="548"/>
      <c r="Y506" s="548"/>
      <c r="Z506" s="548"/>
      <c r="AA506" s="548"/>
      <c r="AB506" s="548"/>
      <c r="AC506" s="548"/>
      <c r="AD506" s="548"/>
      <c r="AE506" s="548"/>
      <c r="AF506" s="548"/>
      <c r="AG506" s="548"/>
      <c r="AH506" s="548"/>
      <c r="AI506" s="548"/>
      <c r="AJ506" s="548"/>
      <c r="AK506" s="548"/>
      <c r="AL506" s="548"/>
      <c r="AM506" s="548"/>
      <c r="AN506" s="548"/>
      <c r="AO506" s="548"/>
      <c r="AP506" s="548"/>
      <c r="AQ506" s="548"/>
      <c r="AR506" s="548"/>
      <c r="AS506" s="548"/>
      <c r="AT506" s="548"/>
      <c r="AU506" s="548"/>
      <c r="AV506" s="548"/>
      <c r="AW506" s="548"/>
      <c r="AX506" s="548"/>
      <c r="AY506" s="548"/>
    </row>
    <row r="507" spans="1:51" s="433" customFormat="1">
      <c r="A507" s="506">
        <v>45895</v>
      </c>
      <c r="B507" s="182" t="s">
        <v>2960</v>
      </c>
      <c r="C507" s="182" t="s">
        <v>2088</v>
      </c>
      <c r="D507" s="182" t="s">
        <v>120</v>
      </c>
      <c r="E507" s="435">
        <v>6000</v>
      </c>
      <c r="F507" s="325">
        <f t="shared" si="10"/>
        <v>10.696293021381889</v>
      </c>
      <c r="G507" s="326">
        <v>560.94200000000001</v>
      </c>
      <c r="H507" s="182" t="s">
        <v>213</v>
      </c>
      <c r="I507" s="182" t="s">
        <v>2411</v>
      </c>
      <c r="J507" s="182" t="s">
        <v>98</v>
      </c>
      <c r="K507" s="438" t="s">
        <v>1902</v>
      </c>
      <c r="L507" s="182" t="s">
        <v>155</v>
      </c>
      <c r="M507" s="548"/>
      <c r="N507" s="548"/>
      <c r="O507" s="548"/>
      <c r="P507" s="548"/>
      <c r="Q507" s="548"/>
      <c r="R507" s="548"/>
      <c r="S507" s="548"/>
      <c r="T507" s="548"/>
      <c r="U507" s="548"/>
      <c r="V507" s="548"/>
      <c r="W507" s="548"/>
      <c r="X507" s="548"/>
      <c r="Y507" s="548"/>
      <c r="Z507" s="548"/>
      <c r="AA507" s="548"/>
      <c r="AB507" s="548"/>
      <c r="AC507" s="548"/>
      <c r="AD507" s="548"/>
      <c r="AE507" s="548"/>
      <c r="AF507" s="548"/>
      <c r="AG507" s="548"/>
      <c r="AH507" s="548"/>
      <c r="AI507" s="548"/>
      <c r="AJ507" s="548"/>
      <c r="AK507" s="548"/>
      <c r="AL507" s="548"/>
      <c r="AM507" s="548"/>
      <c r="AN507" s="548"/>
      <c r="AO507" s="548"/>
      <c r="AP507" s="548"/>
      <c r="AQ507" s="548"/>
      <c r="AR507" s="548"/>
      <c r="AS507" s="548"/>
      <c r="AT507" s="548"/>
      <c r="AU507" s="548"/>
      <c r="AV507" s="548"/>
      <c r="AW507" s="548"/>
      <c r="AX507" s="548"/>
      <c r="AY507" s="548"/>
    </row>
    <row r="508" spans="1:51" s="433" customFormat="1">
      <c r="A508" s="505">
        <v>45895</v>
      </c>
      <c r="B508" s="182" t="s">
        <v>2961</v>
      </c>
      <c r="C508" s="182" t="s">
        <v>2088</v>
      </c>
      <c r="D508" s="182" t="s">
        <v>120</v>
      </c>
      <c r="E508" s="435">
        <v>6000</v>
      </c>
      <c r="F508" s="325">
        <f t="shared" si="10"/>
        <v>10.696293021381889</v>
      </c>
      <c r="G508" s="326">
        <v>560.94200000000001</v>
      </c>
      <c r="H508" s="182" t="s">
        <v>213</v>
      </c>
      <c r="I508" s="182" t="s">
        <v>2411</v>
      </c>
      <c r="J508" s="182" t="s">
        <v>98</v>
      </c>
      <c r="K508" s="438" t="s">
        <v>1902</v>
      </c>
      <c r="L508" s="182" t="s">
        <v>155</v>
      </c>
      <c r="M508" s="548"/>
      <c r="N508" s="548"/>
      <c r="O508" s="548"/>
      <c r="P508" s="548"/>
      <c r="Q508" s="548"/>
      <c r="R508" s="548"/>
      <c r="S508" s="548"/>
      <c r="T508" s="548"/>
      <c r="U508" s="548"/>
      <c r="V508" s="548"/>
      <c r="W508" s="548"/>
      <c r="X508" s="548"/>
      <c r="Y508" s="548"/>
      <c r="Z508" s="548"/>
      <c r="AA508" s="548"/>
      <c r="AB508" s="548"/>
      <c r="AC508" s="548"/>
      <c r="AD508" s="548"/>
      <c r="AE508" s="548"/>
      <c r="AF508" s="548"/>
      <c r="AG508" s="548"/>
      <c r="AH508" s="548"/>
      <c r="AI508" s="548"/>
      <c r="AJ508" s="548"/>
      <c r="AK508" s="548"/>
      <c r="AL508" s="548"/>
      <c r="AM508" s="548"/>
      <c r="AN508" s="548"/>
      <c r="AO508" s="548"/>
      <c r="AP508" s="548"/>
      <c r="AQ508" s="548"/>
      <c r="AR508" s="548"/>
      <c r="AS508" s="548"/>
      <c r="AT508" s="548"/>
      <c r="AU508" s="548"/>
      <c r="AV508" s="548"/>
      <c r="AW508" s="548"/>
      <c r="AX508" s="548"/>
      <c r="AY508" s="548"/>
    </row>
    <row r="509" spans="1:51" s="433" customFormat="1">
      <c r="A509" s="506">
        <v>45895</v>
      </c>
      <c r="B509" s="182" t="s">
        <v>2962</v>
      </c>
      <c r="C509" s="182" t="s">
        <v>2088</v>
      </c>
      <c r="D509" s="182" t="s">
        <v>120</v>
      </c>
      <c r="E509" s="435">
        <v>6000</v>
      </c>
      <c r="F509" s="325">
        <f t="shared" si="10"/>
        <v>10.696293021381889</v>
      </c>
      <c r="G509" s="326">
        <v>560.94200000000001</v>
      </c>
      <c r="H509" s="182" t="s">
        <v>213</v>
      </c>
      <c r="I509" s="182" t="s">
        <v>2411</v>
      </c>
      <c r="J509" s="182" t="s">
        <v>98</v>
      </c>
      <c r="K509" s="438" t="s">
        <v>1902</v>
      </c>
      <c r="L509" s="182" t="s">
        <v>155</v>
      </c>
      <c r="M509" s="548"/>
      <c r="N509" s="548"/>
      <c r="O509" s="548"/>
      <c r="P509" s="548"/>
      <c r="Q509" s="548"/>
      <c r="R509" s="548"/>
      <c r="S509" s="548"/>
      <c r="T509" s="548"/>
      <c r="U509" s="548"/>
      <c r="V509" s="548"/>
      <c r="W509" s="548"/>
      <c r="X509" s="548"/>
      <c r="Y509" s="548"/>
      <c r="Z509" s="548"/>
      <c r="AA509" s="548"/>
      <c r="AB509" s="548"/>
      <c r="AC509" s="548"/>
      <c r="AD509" s="548"/>
      <c r="AE509" s="548"/>
      <c r="AF509" s="548"/>
      <c r="AG509" s="548"/>
      <c r="AH509" s="548"/>
      <c r="AI509" s="548"/>
      <c r="AJ509" s="548"/>
      <c r="AK509" s="548"/>
      <c r="AL509" s="548"/>
      <c r="AM509" s="548"/>
      <c r="AN509" s="548"/>
      <c r="AO509" s="548"/>
      <c r="AP509" s="548"/>
      <c r="AQ509" s="548"/>
      <c r="AR509" s="548"/>
      <c r="AS509" s="548"/>
      <c r="AT509" s="548"/>
      <c r="AU509" s="548"/>
      <c r="AV509" s="548"/>
      <c r="AW509" s="548"/>
      <c r="AX509" s="548"/>
      <c r="AY509" s="548"/>
    </row>
    <row r="510" spans="1:51" s="433" customFormat="1">
      <c r="A510" s="505">
        <v>45895</v>
      </c>
      <c r="B510" s="182" t="s">
        <v>2963</v>
      </c>
      <c r="C510" s="182" t="s">
        <v>2088</v>
      </c>
      <c r="D510" s="182" t="s">
        <v>120</v>
      </c>
      <c r="E510" s="435">
        <v>6000</v>
      </c>
      <c r="F510" s="325">
        <f t="shared" si="10"/>
        <v>10.696293021381889</v>
      </c>
      <c r="G510" s="326">
        <v>560.94200000000001</v>
      </c>
      <c r="H510" s="182" t="s">
        <v>213</v>
      </c>
      <c r="I510" s="182" t="s">
        <v>2411</v>
      </c>
      <c r="J510" s="182" t="s">
        <v>98</v>
      </c>
      <c r="K510" s="438" t="s">
        <v>1902</v>
      </c>
      <c r="L510" s="182" t="s">
        <v>155</v>
      </c>
      <c r="M510" s="548"/>
      <c r="N510" s="548"/>
      <c r="O510" s="548"/>
      <c r="P510" s="548"/>
      <c r="Q510" s="548"/>
      <c r="R510" s="548"/>
      <c r="S510" s="548"/>
      <c r="T510" s="548"/>
      <c r="U510" s="548"/>
      <c r="V510" s="548"/>
      <c r="W510" s="548"/>
      <c r="X510" s="548"/>
      <c r="Y510" s="548"/>
      <c r="Z510" s="548"/>
      <c r="AA510" s="548"/>
      <c r="AB510" s="548"/>
      <c r="AC510" s="548"/>
      <c r="AD510" s="548"/>
      <c r="AE510" s="548"/>
      <c r="AF510" s="548"/>
      <c r="AG510" s="548"/>
      <c r="AH510" s="548"/>
      <c r="AI510" s="548"/>
      <c r="AJ510" s="548"/>
      <c r="AK510" s="548"/>
      <c r="AL510" s="548"/>
      <c r="AM510" s="548"/>
      <c r="AN510" s="548"/>
      <c r="AO510" s="548"/>
      <c r="AP510" s="548"/>
      <c r="AQ510" s="548"/>
      <c r="AR510" s="548"/>
      <c r="AS510" s="548"/>
      <c r="AT510" s="548"/>
      <c r="AU510" s="548"/>
      <c r="AV510" s="548"/>
      <c r="AW510" s="548"/>
      <c r="AX510" s="548"/>
      <c r="AY510" s="548"/>
    </row>
    <row r="511" spans="1:51" s="433" customFormat="1">
      <c r="A511" s="506">
        <v>45895</v>
      </c>
      <c r="B511" s="182" t="s">
        <v>2964</v>
      </c>
      <c r="C511" s="182" t="s">
        <v>2088</v>
      </c>
      <c r="D511" s="182" t="s">
        <v>120</v>
      </c>
      <c r="E511" s="435">
        <v>6000</v>
      </c>
      <c r="F511" s="325">
        <f t="shared" si="10"/>
        <v>10.696293021381889</v>
      </c>
      <c r="G511" s="326">
        <v>560.94200000000001</v>
      </c>
      <c r="H511" s="182" t="s">
        <v>213</v>
      </c>
      <c r="I511" s="182" t="s">
        <v>2411</v>
      </c>
      <c r="J511" s="182" t="s">
        <v>98</v>
      </c>
      <c r="K511" s="438" t="s">
        <v>1902</v>
      </c>
      <c r="L511" s="182" t="s">
        <v>155</v>
      </c>
      <c r="M511" s="548"/>
      <c r="N511" s="548"/>
      <c r="O511" s="548"/>
      <c r="P511" s="548"/>
      <c r="Q511" s="548"/>
      <c r="R511" s="548"/>
      <c r="S511" s="548"/>
      <c r="T511" s="548"/>
      <c r="U511" s="548"/>
      <c r="V511" s="548"/>
      <c r="W511" s="548"/>
      <c r="X511" s="548"/>
      <c r="Y511" s="548"/>
      <c r="Z511" s="548"/>
      <c r="AA511" s="548"/>
      <c r="AB511" s="548"/>
      <c r="AC511" s="548"/>
      <c r="AD511" s="548"/>
      <c r="AE511" s="548"/>
      <c r="AF511" s="548"/>
      <c r="AG511" s="548"/>
      <c r="AH511" s="548"/>
      <c r="AI511" s="548"/>
      <c r="AJ511" s="548"/>
      <c r="AK511" s="548"/>
      <c r="AL511" s="548"/>
      <c r="AM511" s="548"/>
      <c r="AN511" s="548"/>
      <c r="AO511" s="548"/>
      <c r="AP511" s="548"/>
      <c r="AQ511" s="548"/>
      <c r="AR511" s="548"/>
      <c r="AS511" s="548"/>
      <c r="AT511" s="548"/>
      <c r="AU511" s="548"/>
      <c r="AV511" s="548"/>
      <c r="AW511" s="548"/>
      <c r="AX511" s="548"/>
      <c r="AY511" s="548"/>
    </row>
    <row r="512" spans="1:51" s="433" customFormat="1">
      <c r="A512" s="505">
        <v>45895</v>
      </c>
      <c r="B512" s="182" t="s">
        <v>2965</v>
      </c>
      <c r="C512" s="182" t="s">
        <v>2088</v>
      </c>
      <c r="D512" s="182" t="s">
        <v>120</v>
      </c>
      <c r="E512" s="435">
        <v>6000</v>
      </c>
      <c r="F512" s="325">
        <f t="shared" si="10"/>
        <v>10.696293021381889</v>
      </c>
      <c r="G512" s="326">
        <v>560.94200000000001</v>
      </c>
      <c r="H512" s="182" t="s">
        <v>213</v>
      </c>
      <c r="I512" s="182" t="s">
        <v>2411</v>
      </c>
      <c r="J512" s="182" t="s">
        <v>98</v>
      </c>
      <c r="K512" s="438" t="s">
        <v>1902</v>
      </c>
      <c r="L512" s="182" t="s">
        <v>155</v>
      </c>
      <c r="M512" s="548"/>
      <c r="N512" s="548"/>
      <c r="O512" s="548"/>
      <c r="P512" s="548"/>
      <c r="Q512" s="548"/>
      <c r="R512" s="548"/>
      <c r="S512" s="548"/>
      <c r="T512" s="548"/>
      <c r="U512" s="548"/>
      <c r="V512" s="548"/>
      <c r="W512" s="548"/>
      <c r="X512" s="548"/>
      <c r="Y512" s="548"/>
      <c r="Z512" s="548"/>
      <c r="AA512" s="548"/>
      <c r="AB512" s="548"/>
      <c r="AC512" s="548"/>
      <c r="AD512" s="548"/>
      <c r="AE512" s="548"/>
      <c r="AF512" s="548"/>
      <c r="AG512" s="548"/>
      <c r="AH512" s="548"/>
      <c r="AI512" s="548"/>
      <c r="AJ512" s="548"/>
      <c r="AK512" s="548"/>
      <c r="AL512" s="548"/>
      <c r="AM512" s="548"/>
      <c r="AN512" s="548"/>
      <c r="AO512" s="548"/>
      <c r="AP512" s="548"/>
      <c r="AQ512" s="548"/>
      <c r="AR512" s="548"/>
      <c r="AS512" s="548"/>
      <c r="AT512" s="548"/>
      <c r="AU512" s="548"/>
      <c r="AV512" s="548"/>
      <c r="AW512" s="548"/>
      <c r="AX512" s="548"/>
      <c r="AY512" s="548"/>
    </row>
    <row r="513" spans="1:51" s="433" customFormat="1">
      <c r="A513" s="506">
        <v>45895</v>
      </c>
      <c r="B513" s="182" t="s">
        <v>2966</v>
      </c>
      <c r="C513" s="182" t="s">
        <v>2088</v>
      </c>
      <c r="D513" s="182" t="s">
        <v>120</v>
      </c>
      <c r="E513" s="435">
        <v>6000</v>
      </c>
      <c r="F513" s="325">
        <f t="shared" si="10"/>
        <v>10.696293021381889</v>
      </c>
      <c r="G513" s="326">
        <v>560.94200000000001</v>
      </c>
      <c r="H513" s="182" t="s">
        <v>213</v>
      </c>
      <c r="I513" s="182" t="s">
        <v>2411</v>
      </c>
      <c r="J513" s="182" t="s">
        <v>98</v>
      </c>
      <c r="K513" s="438" t="s">
        <v>1902</v>
      </c>
      <c r="L513" s="182" t="s">
        <v>155</v>
      </c>
      <c r="M513" s="548"/>
      <c r="N513" s="548"/>
      <c r="O513" s="548"/>
      <c r="P513" s="548"/>
      <c r="Q513" s="548"/>
      <c r="R513" s="548"/>
      <c r="S513" s="548"/>
      <c r="T513" s="548"/>
      <c r="U513" s="548"/>
      <c r="V513" s="548"/>
      <c r="W513" s="548"/>
      <c r="X513" s="548"/>
      <c r="Y513" s="548"/>
      <c r="Z513" s="548"/>
      <c r="AA513" s="548"/>
      <c r="AB513" s="548"/>
      <c r="AC513" s="548"/>
      <c r="AD513" s="548"/>
      <c r="AE513" s="548"/>
      <c r="AF513" s="548"/>
      <c r="AG513" s="548"/>
      <c r="AH513" s="548"/>
      <c r="AI513" s="548"/>
      <c r="AJ513" s="548"/>
      <c r="AK513" s="548"/>
      <c r="AL513" s="548"/>
      <c r="AM513" s="548"/>
      <c r="AN513" s="548"/>
      <c r="AO513" s="548"/>
      <c r="AP513" s="548"/>
      <c r="AQ513" s="548"/>
      <c r="AR513" s="548"/>
      <c r="AS513" s="548"/>
      <c r="AT513" s="548"/>
      <c r="AU513" s="548"/>
      <c r="AV513" s="548"/>
      <c r="AW513" s="548"/>
      <c r="AX513" s="548"/>
      <c r="AY513" s="548"/>
    </row>
    <row r="514" spans="1:51" s="433" customFormat="1">
      <c r="A514" s="505">
        <v>45895</v>
      </c>
      <c r="B514" s="182" t="s">
        <v>2967</v>
      </c>
      <c r="C514" s="182" t="s">
        <v>2088</v>
      </c>
      <c r="D514" s="182" t="s">
        <v>120</v>
      </c>
      <c r="E514" s="435">
        <v>6000</v>
      </c>
      <c r="F514" s="325">
        <f t="shared" si="10"/>
        <v>10.696293021381889</v>
      </c>
      <c r="G514" s="326">
        <v>560.94200000000001</v>
      </c>
      <c r="H514" s="182" t="s">
        <v>213</v>
      </c>
      <c r="I514" s="182" t="s">
        <v>2411</v>
      </c>
      <c r="J514" s="182" t="s">
        <v>98</v>
      </c>
      <c r="K514" s="438" t="s">
        <v>1902</v>
      </c>
      <c r="L514" s="182" t="s">
        <v>155</v>
      </c>
      <c r="M514" s="548"/>
      <c r="N514" s="548"/>
      <c r="O514" s="548"/>
      <c r="P514" s="548"/>
      <c r="Q514" s="548"/>
      <c r="R514" s="548"/>
      <c r="S514" s="548"/>
      <c r="T514" s="548"/>
      <c r="U514" s="548"/>
      <c r="V514" s="548"/>
      <c r="W514" s="548"/>
      <c r="X514" s="548"/>
      <c r="Y514" s="548"/>
      <c r="Z514" s="548"/>
      <c r="AA514" s="548"/>
      <c r="AB514" s="548"/>
      <c r="AC514" s="548"/>
      <c r="AD514" s="548"/>
      <c r="AE514" s="548"/>
      <c r="AF514" s="548"/>
      <c r="AG514" s="548"/>
      <c r="AH514" s="548"/>
      <c r="AI514" s="548"/>
      <c r="AJ514" s="548"/>
      <c r="AK514" s="548"/>
      <c r="AL514" s="548"/>
      <c r="AM514" s="548"/>
      <c r="AN514" s="548"/>
      <c r="AO514" s="548"/>
      <c r="AP514" s="548"/>
      <c r="AQ514" s="548"/>
      <c r="AR514" s="548"/>
      <c r="AS514" s="548"/>
      <c r="AT514" s="548"/>
      <c r="AU514" s="548"/>
      <c r="AV514" s="548"/>
      <c r="AW514" s="548"/>
      <c r="AX514" s="548"/>
      <c r="AY514" s="548"/>
    </row>
    <row r="515" spans="1:51" s="433" customFormat="1">
      <c r="A515" s="506">
        <v>45895</v>
      </c>
      <c r="B515" s="182" t="s">
        <v>2968</v>
      </c>
      <c r="C515" s="182" t="s">
        <v>2088</v>
      </c>
      <c r="D515" s="182" t="s">
        <v>120</v>
      </c>
      <c r="E515" s="435">
        <v>6000</v>
      </c>
      <c r="F515" s="325">
        <f t="shared" si="10"/>
        <v>10.696293021381889</v>
      </c>
      <c r="G515" s="326">
        <v>560.94200000000001</v>
      </c>
      <c r="H515" s="182" t="s">
        <v>213</v>
      </c>
      <c r="I515" s="182" t="s">
        <v>2411</v>
      </c>
      <c r="J515" s="182" t="s">
        <v>98</v>
      </c>
      <c r="K515" s="438" t="s">
        <v>1902</v>
      </c>
      <c r="L515" s="182" t="s">
        <v>155</v>
      </c>
      <c r="M515" s="548"/>
      <c r="N515" s="548"/>
      <c r="O515" s="548"/>
      <c r="P515" s="548"/>
      <c r="Q515" s="548"/>
      <c r="R515" s="548"/>
      <c r="S515" s="548"/>
      <c r="T515" s="548"/>
      <c r="U515" s="548"/>
      <c r="V515" s="548"/>
      <c r="W515" s="548"/>
      <c r="X515" s="548"/>
      <c r="Y515" s="548"/>
      <c r="Z515" s="548"/>
      <c r="AA515" s="548"/>
      <c r="AB515" s="548"/>
      <c r="AC515" s="548"/>
      <c r="AD515" s="548"/>
      <c r="AE515" s="548"/>
      <c r="AF515" s="548"/>
      <c r="AG515" s="548"/>
      <c r="AH515" s="548"/>
      <c r="AI515" s="548"/>
      <c r="AJ515" s="548"/>
      <c r="AK515" s="548"/>
      <c r="AL515" s="548"/>
      <c r="AM515" s="548"/>
      <c r="AN515" s="548"/>
      <c r="AO515" s="548"/>
      <c r="AP515" s="548"/>
      <c r="AQ515" s="548"/>
      <c r="AR515" s="548"/>
      <c r="AS515" s="548"/>
      <c r="AT515" s="548"/>
      <c r="AU515" s="548"/>
      <c r="AV515" s="548"/>
      <c r="AW515" s="548"/>
      <c r="AX515" s="548"/>
      <c r="AY515" s="548"/>
    </row>
    <row r="516" spans="1:51" s="433" customFormat="1">
      <c r="A516" s="505">
        <v>45895</v>
      </c>
      <c r="B516" s="182" t="s">
        <v>2969</v>
      </c>
      <c r="C516" s="182" t="s">
        <v>2088</v>
      </c>
      <c r="D516" s="182" t="s">
        <v>120</v>
      </c>
      <c r="E516" s="435">
        <v>6000</v>
      </c>
      <c r="F516" s="325">
        <f t="shared" si="10"/>
        <v>10.696293021381889</v>
      </c>
      <c r="G516" s="326">
        <v>560.94200000000001</v>
      </c>
      <c r="H516" s="182" t="s">
        <v>213</v>
      </c>
      <c r="I516" s="182" t="s">
        <v>2411</v>
      </c>
      <c r="J516" s="182" t="s">
        <v>98</v>
      </c>
      <c r="K516" s="438" t="s">
        <v>1902</v>
      </c>
      <c r="L516" s="182" t="s">
        <v>155</v>
      </c>
      <c r="M516" s="548"/>
      <c r="N516" s="548"/>
      <c r="O516" s="548"/>
      <c r="P516" s="548"/>
      <c r="Q516" s="548"/>
      <c r="R516" s="548"/>
      <c r="S516" s="548"/>
      <c r="T516" s="548"/>
      <c r="U516" s="548"/>
      <c r="V516" s="548"/>
      <c r="W516" s="548"/>
      <c r="X516" s="548"/>
      <c r="Y516" s="548"/>
      <c r="Z516" s="548"/>
      <c r="AA516" s="548"/>
      <c r="AB516" s="548"/>
      <c r="AC516" s="548"/>
      <c r="AD516" s="548"/>
      <c r="AE516" s="548"/>
      <c r="AF516" s="548"/>
      <c r="AG516" s="548"/>
      <c r="AH516" s="548"/>
      <c r="AI516" s="548"/>
      <c r="AJ516" s="548"/>
      <c r="AK516" s="548"/>
      <c r="AL516" s="548"/>
      <c r="AM516" s="548"/>
      <c r="AN516" s="548"/>
      <c r="AO516" s="548"/>
      <c r="AP516" s="548"/>
      <c r="AQ516" s="548"/>
      <c r="AR516" s="548"/>
      <c r="AS516" s="548"/>
      <c r="AT516" s="548"/>
      <c r="AU516" s="548"/>
      <c r="AV516" s="548"/>
      <c r="AW516" s="548"/>
      <c r="AX516" s="548"/>
      <c r="AY516" s="548"/>
    </row>
    <row r="517" spans="1:51" s="433" customFormat="1">
      <c r="A517" s="506">
        <v>45895</v>
      </c>
      <c r="B517" s="182" t="s">
        <v>2970</v>
      </c>
      <c r="C517" s="182" t="s">
        <v>2088</v>
      </c>
      <c r="D517" s="182" t="s">
        <v>120</v>
      </c>
      <c r="E517" s="435">
        <v>10000</v>
      </c>
      <c r="F517" s="325">
        <f t="shared" si="10"/>
        <v>17.827155035636483</v>
      </c>
      <c r="G517" s="326">
        <v>560.94200000000001</v>
      </c>
      <c r="H517" s="182" t="s">
        <v>213</v>
      </c>
      <c r="I517" s="182" t="s">
        <v>2413</v>
      </c>
      <c r="J517" s="182" t="s">
        <v>98</v>
      </c>
      <c r="K517" s="438" t="s">
        <v>1902</v>
      </c>
      <c r="L517" s="182" t="s">
        <v>155</v>
      </c>
      <c r="M517" s="548"/>
      <c r="N517" s="548"/>
      <c r="O517" s="548"/>
      <c r="P517" s="548"/>
      <c r="Q517" s="548"/>
      <c r="R517" s="548"/>
      <c r="S517" s="548"/>
      <c r="T517" s="548"/>
      <c r="U517" s="548"/>
      <c r="V517" s="548"/>
      <c r="W517" s="548"/>
      <c r="X517" s="548"/>
      <c r="Y517" s="548"/>
      <c r="Z517" s="548"/>
      <c r="AA517" s="548"/>
      <c r="AB517" s="548"/>
      <c r="AC517" s="548"/>
      <c r="AD517" s="548"/>
      <c r="AE517" s="548"/>
      <c r="AF517" s="548"/>
      <c r="AG517" s="548"/>
      <c r="AH517" s="548"/>
      <c r="AI517" s="548"/>
      <c r="AJ517" s="548"/>
      <c r="AK517" s="548"/>
      <c r="AL517" s="548"/>
      <c r="AM517" s="548"/>
      <c r="AN517" s="548"/>
      <c r="AO517" s="548"/>
      <c r="AP517" s="548"/>
      <c r="AQ517" s="548"/>
      <c r="AR517" s="548"/>
      <c r="AS517" s="548"/>
      <c r="AT517" s="548"/>
      <c r="AU517" s="548"/>
      <c r="AV517" s="548"/>
      <c r="AW517" s="548"/>
      <c r="AX517" s="548"/>
      <c r="AY517" s="548"/>
    </row>
    <row r="518" spans="1:51" s="433" customFormat="1">
      <c r="A518" s="505">
        <v>45895</v>
      </c>
      <c r="B518" s="182" t="s">
        <v>2971</v>
      </c>
      <c r="C518" s="182" t="s">
        <v>2088</v>
      </c>
      <c r="D518" s="182" t="s">
        <v>120</v>
      </c>
      <c r="E518" s="435">
        <v>10000</v>
      </c>
      <c r="F518" s="325">
        <f t="shared" si="10"/>
        <v>17.827155035636483</v>
      </c>
      <c r="G518" s="326">
        <v>560.94200000000001</v>
      </c>
      <c r="H518" s="182" t="s">
        <v>213</v>
      </c>
      <c r="I518" s="182" t="s">
        <v>2413</v>
      </c>
      <c r="J518" s="182" t="s">
        <v>98</v>
      </c>
      <c r="K518" s="438" t="s">
        <v>1902</v>
      </c>
      <c r="L518" s="182" t="s">
        <v>155</v>
      </c>
      <c r="M518" s="548"/>
      <c r="N518" s="548"/>
      <c r="O518" s="548"/>
      <c r="P518" s="548"/>
      <c r="Q518" s="548"/>
      <c r="R518" s="548"/>
      <c r="S518" s="548"/>
      <c r="T518" s="548"/>
      <c r="U518" s="548"/>
      <c r="V518" s="548"/>
      <c r="W518" s="548"/>
      <c r="X518" s="548"/>
      <c r="Y518" s="548"/>
      <c r="Z518" s="548"/>
      <c r="AA518" s="548"/>
      <c r="AB518" s="548"/>
      <c r="AC518" s="548"/>
      <c r="AD518" s="548"/>
      <c r="AE518" s="548"/>
      <c r="AF518" s="548"/>
      <c r="AG518" s="548"/>
      <c r="AH518" s="548"/>
      <c r="AI518" s="548"/>
      <c r="AJ518" s="548"/>
      <c r="AK518" s="548"/>
      <c r="AL518" s="548"/>
      <c r="AM518" s="548"/>
      <c r="AN518" s="548"/>
      <c r="AO518" s="548"/>
      <c r="AP518" s="548"/>
      <c r="AQ518" s="548"/>
      <c r="AR518" s="548"/>
      <c r="AS518" s="548"/>
      <c r="AT518" s="548"/>
      <c r="AU518" s="548"/>
      <c r="AV518" s="548"/>
      <c r="AW518" s="548"/>
      <c r="AX518" s="548"/>
      <c r="AY518" s="548"/>
    </row>
    <row r="519" spans="1:51" s="433" customFormat="1">
      <c r="A519" s="506">
        <v>45895</v>
      </c>
      <c r="B519" s="182" t="s">
        <v>2972</v>
      </c>
      <c r="C519" s="182" t="s">
        <v>2088</v>
      </c>
      <c r="D519" s="182" t="s">
        <v>120</v>
      </c>
      <c r="E519" s="435">
        <v>10000</v>
      </c>
      <c r="F519" s="325">
        <f t="shared" si="10"/>
        <v>17.827155035636483</v>
      </c>
      <c r="G519" s="326">
        <v>560.94200000000001</v>
      </c>
      <c r="H519" s="182" t="s">
        <v>213</v>
      </c>
      <c r="I519" s="182" t="s">
        <v>2413</v>
      </c>
      <c r="J519" s="182" t="s">
        <v>98</v>
      </c>
      <c r="K519" s="438" t="s">
        <v>1902</v>
      </c>
      <c r="L519" s="182" t="s">
        <v>155</v>
      </c>
      <c r="M519" s="548"/>
      <c r="N519" s="548"/>
      <c r="O519" s="548"/>
      <c r="P519" s="548"/>
      <c r="Q519" s="548"/>
      <c r="R519" s="548"/>
      <c r="S519" s="548"/>
      <c r="T519" s="548"/>
      <c r="U519" s="548"/>
      <c r="V519" s="548"/>
      <c r="W519" s="548"/>
      <c r="X519" s="548"/>
      <c r="Y519" s="548"/>
      <c r="Z519" s="548"/>
      <c r="AA519" s="548"/>
      <c r="AB519" s="548"/>
      <c r="AC519" s="548"/>
      <c r="AD519" s="548"/>
      <c r="AE519" s="548"/>
      <c r="AF519" s="548"/>
      <c r="AG519" s="548"/>
      <c r="AH519" s="548"/>
      <c r="AI519" s="548"/>
      <c r="AJ519" s="548"/>
      <c r="AK519" s="548"/>
      <c r="AL519" s="548"/>
      <c r="AM519" s="548"/>
      <c r="AN519" s="548"/>
      <c r="AO519" s="548"/>
      <c r="AP519" s="548"/>
      <c r="AQ519" s="548"/>
      <c r="AR519" s="548"/>
      <c r="AS519" s="548"/>
      <c r="AT519" s="548"/>
      <c r="AU519" s="548"/>
      <c r="AV519" s="548"/>
      <c r="AW519" s="548"/>
      <c r="AX519" s="548"/>
      <c r="AY519" s="548"/>
    </row>
    <row r="520" spans="1:51" s="433" customFormat="1">
      <c r="A520" s="505">
        <v>45895</v>
      </c>
      <c r="B520" s="182" t="s">
        <v>2973</v>
      </c>
      <c r="C520" s="182" t="s">
        <v>2088</v>
      </c>
      <c r="D520" s="182" t="s">
        <v>120</v>
      </c>
      <c r="E520" s="435">
        <v>10000</v>
      </c>
      <c r="F520" s="325">
        <f t="shared" si="10"/>
        <v>17.827155035636483</v>
      </c>
      <c r="G520" s="326">
        <v>560.94200000000001</v>
      </c>
      <c r="H520" s="182" t="s">
        <v>213</v>
      </c>
      <c r="I520" s="182" t="s">
        <v>2413</v>
      </c>
      <c r="J520" s="182" t="s">
        <v>98</v>
      </c>
      <c r="K520" s="438" t="s">
        <v>1902</v>
      </c>
      <c r="L520" s="182" t="s">
        <v>155</v>
      </c>
      <c r="M520" s="548"/>
      <c r="N520" s="548"/>
      <c r="O520" s="548"/>
      <c r="P520" s="548"/>
      <c r="Q520" s="548"/>
      <c r="R520" s="548"/>
      <c r="S520" s="548"/>
      <c r="T520" s="548"/>
      <c r="U520" s="548"/>
      <c r="V520" s="548"/>
      <c r="W520" s="548"/>
      <c r="X520" s="548"/>
      <c r="Y520" s="548"/>
      <c r="Z520" s="548"/>
      <c r="AA520" s="548"/>
      <c r="AB520" s="548"/>
      <c r="AC520" s="548"/>
      <c r="AD520" s="548"/>
      <c r="AE520" s="548"/>
      <c r="AF520" s="548"/>
      <c r="AG520" s="548"/>
      <c r="AH520" s="548"/>
      <c r="AI520" s="548"/>
      <c r="AJ520" s="548"/>
      <c r="AK520" s="548"/>
      <c r="AL520" s="548"/>
      <c r="AM520" s="548"/>
      <c r="AN520" s="548"/>
      <c r="AO520" s="548"/>
      <c r="AP520" s="548"/>
      <c r="AQ520" s="548"/>
      <c r="AR520" s="548"/>
      <c r="AS520" s="548"/>
      <c r="AT520" s="548"/>
      <c r="AU520" s="548"/>
      <c r="AV520" s="548"/>
      <c r="AW520" s="548"/>
      <c r="AX520" s="548"/>
      <c r="AY520" s="548"/>
    </row>
    <row r="521" spans="1:51" s="433" customFormat="1">
      <c r="A521" s="506">
        <v>45895</v>
      </c>
      <c r="B521" s="182" t="s">
        <v>2974</v>
      </c>
      <c r="C521" s="182" t="s">
        <v>2088</v>
      </c>
      <c r="D521" s="182" t="s">
        <v>120</v>
      </c>
      <c r="E521" s="435">
        <v>6000</v>
      </c>
      <c r="F521" s="325">
        <f t="shared" si="10"/>
        <v>10.696293021381889</v>
      </c>
      <c r="G521" s="326">
        <v>560.94200000000001</v>
      </c>
      <c r="H521" s="182" t="s">
        <v>213</v>
      </c>
      <c r="I521" s="182" t="s">
        <v>2415</v>
      </c>
      <c r="J521" s="182" t="s">
        <v>98</v>
      </c>
      <c r="K521" s="438" t="s">
        <v>1902</v>
      </c>
      <c r="L521" s="182" t="s">
        <v>155</v>
      </c>
      <c r="M521" s="548"/>
      <c r="N521" s="548"/>
      <c r="O521" s="548"/>
      <c r="P521" s="548"/>
      <c r="Q521" s="548"/>
      <c r="R521" s="548"/>
      <c r="S521" s="548"/>
      <c r="T521" s="548"/>
      <c r="U521" s="548"/>
      <c r="V521" s="548"/>
      <c r="W521" s="548"/>
      <c r="X521" s="548"/>
      <c r="Y521" s="548"/>
      <c r="Z521" s="548"/>
      <c r="AA521" s="548"/>
      <c r="AB521" s="548"/>
      <c r="AC521" s="548"/>
      <c r="AD521" s="548"/>
      <c r="AE521" s="548"/>
      <c r="AF521" s="548"/>
      <c r="AG521" s="548"/>
      <c r="AH521" s="548"/>
      <c r="AI521" s="548"/>
      <c r="AJ521" s="548"/>
      <c r="AK521" s="548"/>
      <c r="AL521" s="548"/>
      <c r="AM521" s="548"/>
      <c r="AN521" s="548"/>
      <c r="AO521" s="548"/>
      <c r="AP521" s="548"/>
      <c r="AQ521" s="548"/>
      <c r="AR521" s="548"/>
      <c r="AS521" s="548"/>
      <c r="AT521" s="548"/>
      <c r="AU521" s="548"/>
      <c r="AV521" s="548"/>
      <c r="AW521" s="548"/>
      <c r="AX521" s="548"/>
      <c r="AY521" s="548"/>
    </row>
    <row r="522" spans="1:51" s="433" customFormat="1">
      <c r="A522" s="505">
        <v>45895</v>
      </c>
      <c r="B522" s="182" t="s">
        <v>2878</v>
      </c>
      <c r="C522" s="182" t="s">
        <v>174</v>
      </c>
      <c r="D522" s="182" t="s">
        <v>117</v>
      </c>
      <c r="E522" s="182">
        <v>500</v>
      </c>
      <c r="F522" s="325">
        <f t="shared" si="10"/>
        <v>0.89135775178182408</v>
      </c>
      <c r="G522" s="326">
        <v>560.94200000000001</v>
      </c>
      <c r="H522" s="182" t="s">
        <v>187</v>
      </c>
      <c r="I522" s="182" t="s">
        <v>2880</v>
      </c>
      <c r="J522" s="182" t="s">
        <v>98</v>
      </c>
      <c r="K522" s="438" t="s">
        <v>1902</v>
      </c>
      <c r="L522" s="182" t="s">
        <v>155</v>
      </c>
      <c r="M522" s="548"/>
      <c r="N522" s="548"/>
      <c r="O522" s="548"/>
      <c r="P522" s="548"/>
      <c r="Q522" s="548"/>
      <c r="R522" s="548"/>
      <c r="S522" s="548"/>
      <c r="T522" s="548"/>
      <c r="U522" s="548"/>
      <c r="V522" s="548"/>
      <c r="W522" s="548"/>
      <c r="X522" s="548"/>
      <c r="Y522" s="548"/>
      <c r="Z522" s="548"/>
      <c r="AA522" s="548"/>
      <c r="AB522" s="548"/>
      <c r="AC522" s="548"/>
      <c r="AD522" s="548"/>
      <c r="AE522" s="548"/>
      <c r="AF522" s="548"/>
      <c r="AG522" s="548"/>
      <c r="AH522" s="548"/>
      <c r="AI522" s="548"/>
      <c r="AJ522" s="548"/>
      <c r="AK522" s="548"/>
      <c r="AL522" s="548"/>
      <c r="AM522" s="548"/>
      <c r="AN522" s="548"/>
      <c r="AO522" s="548"/>
      <c r="AP522" s="548"/>
      <c r="AQ522" s="548"/>
      <c r="AR522" s="548"/>
      <c r="AS522" s="548"/>
      <c r="AT522" s="548"/>
      <c r="AU522" s="548"/>
      <c r="AV522" s="548"/>
      <c r="AW522" s="548"/>
      <c r="AX522" s="548"/>
      <c r="AY522" s="548"/>
    </row>
    <row r="523" spans="1:51" s="433" customFormat="1">
      <c r="A523" s="506">
        <v>45895</v>
      </c>
      <c r="B523" s="182" t="s">
        <v>2416</v>
      </c>
      <c r="C523" s="182" t="s">
        <v>182</v>
      </c>
      <c r="D523" s="182" t="s">
        <v>118</v>
      </c>
      <c r="E523" s="182">
        <v>3900</v>
      </c>
      <c r="F523" s="325">
        <f t="shared" si="10"/>
        <v>6.9525904638982281</v>
      </c>
      <c r="G523" s="326">
        <v>560.94200000000001</v>
      </c>
      <c r="H523" s="182" t="s">
        <v>187</v>
      </c>
      <c r="I523" s="182" t="s">
        <v>2417</v>
      </c>
      <c r="J523" s="182" t="s">
        <v>98</v>
      </c>
      <c r="K523" s="438" t="s">
        <v>1902</v>
      </c>
      <c r="L523" s="182" t="s">
        <v>155</v>
      </c>
      <c r="M523" s="548"/>
      <c r="N523" s="548"/>
      <c r="O523" s="548"/>
      <c r="P523" s="548"/>
      <c r="Q523" s="548"/>
      <c r="R523" s="548"/>
      <c r="S523" s="548"/>
      <c r="T523" s="548"/>
      <c r="U523" s="548"/>
      <c r="V523" s="548"/>
      <c r="W523" s="548"/>
      <c r="X523" s="548"/>
      <c r="Y523" s="548"/>
      <c r="Z523" s="548"/>
      <c r="AA523" s="548"/>
      <c r="AB523" s="548"/>
      <c r="AC523" s="548"/>
      <c r="AD523" s="548"/>
      <c r="AE523" s="548"/>
      <c r="AF523" s="548"/>
      <c r="AG523" s="548"/>
      <c r="AH523" s="548"/>
      <c r="AI523" s="548"/>
      <c r="AJ523" s="548"/>
      <c r="AK523" s="548"/>
      <c r="AL523" s="548"/>
      <c r="AM523" s="548"/>
      <c r="AN523" s="548"/>
      <c r="AO523" s="548"/>
      <c r="AP523" s="548"/>
      <c r="AQ523" s="548"/>
      <c r="AR523" s="548"/>
      <c r="AS523" s="548"/>
      <c r="AT523" s="548"/>
      <c r="AU523" s="548"/>
      <c r="AV523" s="548"/>
      <c r="AW523" s="548"/>
      <c r="AX523" s="548"/>
      <c r="AY523" s="548"/>
    </row>
    <row r="524" spans="1:51" s="433" customFormat="1">
      <c r="A524" s="505">
        <v>45895</v>
      </c>
      <c r="B524" s="182" t="s">
        <v>2877</v>
      </c>
      <c r="C524" s="182" t="s">
        <v>174</v>
      </c>
      <c r="D524" s="182" t="s">
        <v>117</v>
      </c>
      <c r="E524" s="182">
        <v>500</v>
      </c>
      <c r="F524" s="325">
        <f t="shared" si="10"/>
        <v>0.89135775178182408</v>
      </c>
      <c r="G524" s="326">
        <v>560.94200000000001</v>
      </c>
      <c r="H524" s="182" t="s">
        <v>187</v>
      </c>
      <c r="I524" s="182" t="s">
        <v>2880</v>
      </c>
      <c r="J524" s="182" t="s">
        <v>98</v>
      </c>
      <c r="K524" s="438" t="s">
        <v>1902</v>
      </c>
      <c r="L524" s="182" t="s">
        <v>155</v>
      </c>
      <c r="M524" s="548"/>
      <c r="N524" s="548"/>
      <c r="O524" s="548"/>
      <c r="P524" s="548"/>
      <c r="Q524" s="548"/>
      <c r="R524" s="548"/>
      <c r="S524" s="548"/>
      <c r="T524" s="548"/>
      <c r="U524" s="548"/>
      <c r="V524" s="548"/>
      <c r="W524" s="548"/>
      <c r="X524" s="548"/>
      <c r="Y524" s="548"/>
      <c r="Z524" s="548"/>
      <c r="AA524" s="548"/>
      <c r="AB524" s="548"/>
      <c r="AC524" s="548"/>
      <c r="AD524" s="548"/>
      <c r="AE524" s="548"/>
      <c r="AF524" s="548"/>
      <c r="AG524" s="548"/>
      <c r="AH524" s="548"/>
      <c r="AI524" s="548"/>
      <c r="AJ524" s="548"/>
      <c r="AK524" s="548"/>
      <c r="AL524" s="548"/>
      <c r="AM524" s="548"/>
      <c r="AN524" s="548"/>
      <c r="AO524" s="548"/>
      <c r="AP524" s="548"/>
      <c r="AQ524" s="548"/>
      <c r="AR524" s="548"/>
      <c r="AS524" s="548"/>
      <c r="AT524" s="548"/>
      <c r="AU524" s="548"/>
      <c r="AV524" s="548"/>
      <c r="AW524" s="548"/>
      <c r="AX524" s="548"/>
      <c r="AY524" s="548"/>
    </row>
    <row r="525" spans="1:51" s="433" customFormat="1">
      <c r="A525" s="535">
        <v>45896</v>
      </c>
      <c r="B525" s="517" t="s">
        <v>2099</v>
      </c>
      <c r="C525" s="308" t="s">
        <v>174</v>
      </c>
      <c r="D525" s="308" t="s">
        <v>119</v>
      </c>
      <c r="E525" s="517">
        <v>1000</v>
      </c>
      <c r="F525" s="325">
        <f t="shared" si="10"/>
        <v>1.7827155035636482</v>
      </c>
      <c r="G525" s="326">
        <v>560.94200000000001</v>
      </c>
      <c r="H525" s="524" t="s">
        <v>153</v>
      </c>
      <c r="I525" s="525" t="s">
        <v>2494</v>
      </c>
      <c r="J525" s="182" t="s">
        <v>98</v>
      </c>
      <c r="K525" s="438" t="s">
        <v>1902</v>
      </c>
      <c r="L525" s="182" t="s">
        <v>155</v>
      </c>
      <c r="M525" s="550"/>
      <c r="N525" s="550"/>
      <c r="O525" s="550"/>
      <c r="P525" s="548"/>
      <c r="Q525" s="548"/>
      <c r="R525" s="548"/>
      <c r="S525" s="548"/>
      <c r="T525" s="548"/>
      <c r="U525" s="548"/>
      <c r="V525" s="548"/>
      <c r="W525" s="548"/>
      <c r="X525" s="548"/>
      <c r="Y525" s="548"/>
      <c r="Z525" s="548"/>
      <c r="AA525" s="548"/>
      <c r="AB525" s="548"/>
      <c r="AC525" s="548"/>
      <c r="AD525" s="548"/>
      <c r="AE525" s="548"/>
      <c r="AF525" s="548"/>
      <c r="AG525" s="548"/>
      <c r="AH525" s="548"/>
      <c r="AI525" s="548"/>
      <c r="AJ525" s="548"/>
      <c r="AK525" s="548"/>
      <c r="AL525" s="548"/>
      <c r="AM525" s="548"/>
      <c r="AN525" s="548"/>
      <c r="AO525" s="548"/>
      <c r="AP525" s="548"/>
      <c r="AQ525" s="548"/>
      <c r="AR525" s="548"/>
      <c r="AS525" s="548"/>
      <c r="AT525" s="548"/>
      <c r="AU525" s="548"/>
      <c r="AV525" s="548"/>
      <c r="AW525" s="548"/>
      <c r="AX525" s="548"/>
      <c r="AY525" s="548"/>
    </row>
    <row r="526" spans="1:51" s="433" customFormat="1">
      <c r="A526" s="535">
        <v>45896</v>
      </c>
      <c r="B526" s="517" t="s">
        <v>2100</v>
      </c>
      <c r="C526" s="308" t="s">
        <v>174</v>
      </c>
      <c r="D526" s="308" t="s">
        <v>119</v>
      </c>
      <c r="E526" s="517">
        <v>1000</v>
      </c>
      <c r="F526" s="325">
        <f t="shared" si="10"/>
        <v>1.7827155035636482</v>
      </c>
      <c r="G526" s="326">
        <v>560.94200000000001</v>
      </c>
      <c r="H526" s="524" t="s">
        <v>153</v>
      </c>
      <c r="I526" s="525" t="s">
        <v>2494</v>
      </c>
      <c r="J526" s="182" t="s">
        <v>98</v>
      </c>
      <c r="K526" s="438" t="s">
        <v>1902</v>
      </c>
      <c r="L526" s="182" t="s">
        <v>155</v>
      </c>
      <c r="M526" s="550"/>
      <c r="N526" s="550"/>
      <c r="O526" s="550"/>
      <c r="P526" s="548"/>
      <c r="Q526" s="548"/>
      <c r="R526" s="548"/>
      <c r="S526" s="548"/>
      <c r="T526" s="548"/>
      <c r="U526" s="548"/>
      <c r="V526" s="548"/>
      <c r="W526" s="548"/>
      <c r="X526" s="548"/>
      <c r="Y526" s="548"/>
      <c r="Z526" s="548"/>
      <c r="AA526" s="548"/>
      <c r="AB526" s="548"/>
      <c r="AC526" s="548"/>
      <c r="AD526" s="548"/>
      <c r="AE526" s="548"/>
      <c r="AF526" s="548"/>
      <c r="AG526" s="548"/>
      <c r="AH526" s="548"/>
      <c r="AI526" s="548"/>
      <c r="AJ526" s="548"/>
      <c r="AK526" s="548"/>
      <c r="AL526" s="548"/>
      <c r="AM526" s="548"/>
      <c r="AN526" s="548"/>
      <c r="AO526" s="548"/>
      <c r="AP526" s="548"/>
      <c r="AQ526" s="548"/>
      <c r="AR526" s="548"/>
      <c r="AS526" s="548"/>
      <c r="AT526" s="548"/>
      <c r="AU526" s="548"/>
      <c r="AV526" s="548"/>
      <c r="AW526" s="548"/>
      <c r="AX526" s="548"/>
      <c r="AY526" s="548"/>
    </row>
    <row r="527" spans="1:51" s="433" customFormat="1">
      <c r="A527" s="536">
        <v>45896</v>
      </c>
      <c r="B527" s="516" t="s">
        <v>2484</v>
      </c>
      <c r="C527" s="516" t="s">
        <v>174</v>
      </c>
      <c r="D527" s="516" t="s">
        <v>117</v>
      </c>
      <c r="E527" s="526">
        <v>500</v>
      </c>
      <c r="F527" s="325">
        <f t="shared" si="10"/>
        <v>0.89135775178182408</v>
      </c>
      <c r="G527" s="326">
        <v>560.94200000000001</v>
      </c>
      <c r="H527" s="177" t="s">
        <v>200</v>
      </c>
      <c r="I527" s="516" t="s">
        <v>2489</v>
      </c>
      <c r="J527" s="182" t="s">
        <v>98</v>
      </c>
      <c r="K527" s="438" t="s">
        <v>1902</v>
      </c>
      <c r="L527" s="182" t="s">
        <v>155</v>
      </c>
      <c r="M527" s="550"/>
      <c r="N527" s="550"/>
      <c r="O527" s="550"/>
      <c r="P527" s="548"/>
      <c r="Q527" s="548"/>
      <c r="R527" s="548"/>
      <c r="S527" s="548"/>
      <c r="T527" s="548"/>
      <c r="U527" s="548"/>
      <c r="V527" s="548"/>
      <c r="W527" s="548"/>
      <c r="X527" s="548"/>
      <c r="Y527" s="548"/>
      <c r="Z527" s="548"/>
      <c r="AA527" s="548"/>
      <c r="AB527" s="548"/>
      <c r="AC527" s="548"/>
      <c r="AD527" s="548"/>
      <c r="AE527" s="548"/>
      <c r="AF527" s="548"/>
      <c r="AG527" s="548"/>
      <c r="AH527" s="548"/>
      <c r="AI527" s="548"/>
      <c r="AJ527" s="548"/>
      <c r="AK527" s="548"/>
      <c r="AL527" s="548"/>
      <c r="AM527" s="548"/>
      <c r="AN527" s="548"/>
      <c r="AO527" s="548"/>
      <c r="AP527" s="548"/>
      <c r="AQ527" s="548"/>
      <c r="AR527" s="548"/>
      <c r="AS527" s="548"/>
      <c r="AT527" s="548"/>
      <c r="AU527" s="548"/>
      <c r="AV527" s="548"/>
      <c r="AW527" s="548"/>
      <c r="AX527" s="548"/>
      <c r="AY527" s="548"/>
    </row>
    <row r="528" spans="1:51" s="433" customFormat="1">
      <c r="A528" s="536">
        <v>45896</v>
      </c>
      <c r="B528" s="516" t="s">
        <v>2468</v>
      </c>
      <c r="C528" s="516" t="s">
        <v>174</v>
      </c>
      <c r="D528" s="516" t="s">
        <v>117</v>
      </c>
      <c r="E528" s="526">
        <v>500</v>
      </c>
      <c r="F528" s="325">
        <f t="shared" ref="F528:F559" si="11">E528/G528</f>
        <v>0.89135775178182408</v>
      </c>
      <c r="G528" s="326">
        <v>560.94200000000001</v>
      </c>
      <c r="H528" s="177" t="s">
        <v>200</v>
      </c>
      <c r="I528" s="516" t="s">
        <v>2489</v>
      </c>
      <c r="J528" s="182" t="s">
        <v>98</v>
      </c>
      <c r="K528" s="438" t="s">
        <v>1902</v>
      </c>
      <c r="L528" s="182" t="s">
        <v>155</v>
      </c>
      <c r="M528" s="550"/>
      <c r="N528" s="550"/>
      <c r="O528" s="550"/>
      <c r="P528" s="548"/>
      <c r="Q528" s="548"/>
      <c r="R528" s="548"/>
      <c r="S528" s="548"/>
      <c r="T528" s="548"/>
      <c r="U528" s="548"/>
      <c r="V528" s="548"/>
      <c r="W528" s="548"/>
      <c r="X528" s="548"/>
      <c r="Y528" s="548"/>
      <c r="Z528" s="548"/>
      <c r="AA528" s="548"/>
      <c r="AB528" s="548"/>
      <c r="AC528" s="548"/>
      <c r="AD528" s="548"/>
      <c r="AE528" s="548"/>
      <c r="AF528" s="548"/>
      <c r="AG528" s="548"/>
      <c r="AH528" s="548"/>
      <c r="AI528" s="548"/>
      <c r="AJ528" s="548"/>
      <c r="AK528" s="548"/>
      <c r="AL528" s="548"/>
      <c r="AM528" s="548"/>
      <c r="AN528" s="548"/>
      <c r="AO528" s="548"/>
      <c r="AP528" s="548"/>
      <c r="AQ528" s="548"/>
      <c r="AR528" s="548"/>
      <c r="AS528" s="548"/>
      <c r="AT528" s="548"/>
      <c r="AU528" s="548"/>
      <c r="AV528" s="548"/>
      <c r="AW528" s="548"/>
      <c r="AX528" s="548"/>
      <c r="AY528" s="548"/>
    </row>
    <row r="529" spans="1:51" s="433" customFormat="1">
      <c r="A529" s="506">
        <v>45896</v>
      </c>
      <c r="B529" s="182" t="s">
        <v>2425</v>
      </c>
      <c r="C529" s="182" t="s">
        <v>304</v>
      </c>
      <c r="D529" s="182" t="s">
        <v>118</v>
      </c>
      <c r="E529" s="435">
        <v>20000</v>
      </c>
      <c r="F529" s="325">
        <f t="shared" si="11"/>
        <v>35.654310071272967</v>
      </c>
      <c r="G529" s="326">
        <v>560.94200000000001</v>
      </c>
      <c r="H529" s="182" t="s">
        <v>583</v>
      </c>
      <c r="I529" s="182" t="s">
        <v>2426</v>
      </c>
      <c r="J529" s="182" t="s">
        <v>98</v>
      </c>
      <c r="K529" s="438" t="s">
        <v>1902</v>
      </c>
      <c r="L529" s="182" t="s">
        <v>155</v>
      </c>
      <c r="M529" s="550"/>
      <c r="N529" s="550"/>
      <c r="O529" s="550"/>
      <c r="P529" s="548"/>
      <c r="Q529" s="548"/>
      <c r="R529" s="548"/>
      <c r="S529" s="548"/>
      <c r="T529" s="548"/>
      <c r="U529" s="548"/>
      <c r="V529" s="548"/>
      <c r="W529" s="548"/>
      <c r="X529" s="548"/>
      <c r="Y529" s="548"/>
      <c r="Z529" s="548"/>
      <c r="AA529" s="548"/>
      <c r="AB529" s="548"/>
      <c r="AC529" s="548"/>
      <c r="AD529" s="548"/>
      <c r="AE529" s="548"/>
      <c r="AF529" s="548"/>
      <c r="AG529" s="548"/>
      <c r="AH529" s="548"/>
      <c r="AI529" s="548"/>
      <c r="AJ529" s="548"/>
      <c r="AK529" s="548"/>
      <c r="AL529" s="548"/>
      <c r="AM529" s="548"/>
      <c r="AN529" s="548"/>
      <c r="AO529" s="548"/>
      <c r="AP529" s="548"/>
      <c r="AQ529" s="548"/>
      <c r="AR529" s="548"/>
      <c r="AS529" s="548"/>
      <c r="AT529" s="548"/>
      <c r="AU529" s="548"/>
      <c r="AV529" s="548"/>
      <c r="AW529" s="548"/>
      <c r="AX529" s="548"/>
      <c r="AY529" s="548"/>
    </row>
    <row r="530" spans="1:51" s="433" customFormat="1">
      <c r="A530" s="506">
        <v>45896</v>
      </c>
      <c r="B530" s="182" t="s">
        <v>2427</v>
      </c>
      <c r="C530" s="182" t="s">
        <v>304</v>
      </c>
      <c r="D530" s="182" t="s">
        <v>118</v>
      </c>
      <c r="E530" s="435">
        <v>75625</v>
      </c>
      <c r="F530" s="325">
        <f t="shared" si="11"/>
        <v>134.81785995700091</v>
      </c>
      <c r="G530" s="326">
        <v>560.94200000000001</v>
      </c>
      <c r="H530" s="182" t="s">
        <v>583</v>
      </c>
      <c r="I530" s="182" t="s">
        <v>2428</v>
      </c>
      <c r="J530" s="182" t="s">
        <v>98</v>
      </c>
      <c r="K530" s="438" t="s">
        <v>1902</v>
      </c>
      <c r="L530" s="182" t="s">
        <v>155</v>
      </c>
      <c r="M530" s="550"/>
      <c r="N530" s="550"/>
      <c r="O530" s="550"/>
      <c r="P530" s="548"/>
      <c r="Q530" s="548"/>
      <c r="R530" s="548"/>
      <c r="S530" s="548"/>
      <c r="T530" s="548"/>
      <c r="U530" s="548"/>
      <c r="V530" s="548"/>
      <c r="W530" s="548"/>
      <c r="X530" s="548"/>
      <c r="Y530" s="548"/>
      <c r="Z530" s="548"/>
      <c r="AA530" s="548"/>
      <c r="AB530" s="548"/>
      <c r="AC530" s="548"/>
      <c r="AD530" s="548"/>
      <c r="AE530" s="548"/>
      <c r="AF530" s="548"/>
      <c r="AG530" s="548"/>
      <c r="AH530" s="548"/>
      <c r="AI530" s="548"/>
      <c r="AJ530" s="548"/>
      <c r="AK530" s="548"/>
      <c r="AL530" s="548"/>
      <c r="AM530" s="548"/>
      <c r="AN530" s="548"/>
      <c r="AO530" s="548"/>
      <c r="AP530" s="548"/>
      <c r="AQ530" s="548"/>
      <c r="AR530" s="548"/>
      <c r="AS530" s="548"/>
      <c r="AT530" s="548"/>
      <c r="AU530" s="548"/>
      <c r="AV530" s="548"/>
      <c r="AW530" s="548"/>
      <c r="AX530" s="548"/>
      <c r="AY530" s="548"/>
    </row>
    <row r="531" spans="1:51" s="433" customFormat="1">
      <c r="A531" s="506">
        <v>45896</v>
      </c>
      <c r="B531" s="182" t="s">
        <v>2433</v>
      </c>
      <c r="C531" s="182" t="s">
        <v>182</v>
      </c>
      <c r="D531" s="182" t="s">
        <v>118</v>
      </c>
      <c r="E531" s="435">
        <v>10020</v>
      </c>
      <c r="F531" s="325">
        <f t="shared" si="11"/>
        <v>17.862809345707756</v>
      </c>
      <c r="G531" s="326">
        <v>560.94200000000001</v>
      </c>
      <c r="H531" s="182" t="s">
        <v>583</v>
      </c>
      <c r="I531" s="182" t="s">
        <v>2434</v>
      </c>
      <c r="J531" s="182" t="s">
        <v>98</v>
      </c>
      <c r="K531" s="438" t="s">
        <v>1902</v>
      </c>
      <c r="L531" s="182" t="s">
        <v>155</v>
      </c>
      <c r="M531" s="550"/>
      <c r="N531" s="550"/>
      <c r="O531" s="550"/>
      <c r="P531" s="548"/>
      <c r="Q531" s="548"/>
      <c r="R531" s="548"/>
      <c r="S531" s="548"/>
      <c r="T531" s="548"/>
      <c r="U531" s="548"/>
      <c r="V531" s="548"/>
      <c r="W531" s="548"/>
      <c r="X531" s="548"/>
      <c r="Y531" s="548"/>
      <c r="Z531" s="548"/>
      <c r="AA531" s="548"/>
      <c r="AB531" s="548"/>
      <c r="AC531" s="548"/>
      <c r="AD531" s="548"/>
      <c r="AE531" s="548"/>
      <c r="AF531" s="548"/>
      <c r="AG531" s="548"/>
      <c r="AH531" s="548"/>
      <c r="AI531" s="548"/>
      <c r="AJ531" s="548"/>
      <c r="AK531" s="548"/>
      <c r="AL531" s="548"/>
      <c r="AM531" s="548"/>
      <c r="AN531" s="548"/>
      <c r="AO531" s="548"/>
      <c r="AP531" s="548"/>
      <c r="AQ531" s="548"/>
      <c r="AR531" s="548"/>
      <c r="AS531" s="548"/>
      <c r="AT531" s="548"/>
      <c r="AU531" s="548"/>
      <c r="AV531" s="548"/>
      <c r="AW531" s="548"/>
      <c r="AX531" s="548"/>
      <c r="AY531" s="548"/>
    </row>
    <row r="532" spans="1:51" s="433" customFormat="1">
      <c r="A532" s="505">
        <v>45896</v>
      </c>
      <c r="B532" s="182" t="s">
        <v>3057</v>
      </c>
      <c r="C532" s="182" t="s">
        <v>174</v>
      </c>
      <c r="D532" s="182" t="s">
        <v>121</v>
      </c>
      <c r="E532" s="182">
        <v>2000</v>
      </c>
      <c r="F532" s="325">
        <f t="shared" si="11"/>
        <v>3.5654310071272963</v>
      </c>
      <c r="G532" s="326">
        <v>560.94200000000001</v>
      </c>
      <c r="H532" s="182" t="s">
        <v>317</v>
      </c>
      <c r="I532" s="182" t="s">
        <v>2632</v>
      </c>
      <c r="J532" s="182" t="s">
        <v>98</v>
      </c>
      <c r="K532" s="438" t="s">
        <v>1902</v>
      </c>
      <c r="L532" s="182" t="s">
        <v>155</v>
      </c>
      <c r="M532" s="548"/>
      <c r="N532" s="548"/>
      <c r="O532" s="548"/>
      <c r="P532" s="548"/>
      <c r="Q532" s="548"/>
      <c r="R532" s="548"/>
      <c r="S532" s="548"/>
      <c r="T532" s="548"/>
      <c r="U532" s="548"/>
      <c r="V532" s="548"/>
      <c r="W532" s="548"/>
      <c r="X532" s="548"/>
      <c r="Y532" s="548"/>
      <c r="Z532" s="548"/>
      <c r="AA532" s="548"/>
      <c r="AB532" s="548"/>
      <c r="AC532" s="548"/>
      <c r="AD532" s="548"/>
      <c r="AE532" s="548"/>
      <c r="AF532" s="548"/>
      <c r="AG532" s="548"/>
      <c r="AH532" s="548"/>
      <c r="AI532" s="548"/>
      <c r="AJ532" s="548"/>
      <c r="AK532" s="548"/>
      <c r="AL532" s="548"/>
      <c r="AM532" s="548"/>
      <c r="AN532" s="548"/>
      <c r="AO532" s="548"/>
      <c r="AP532" s="548"/>
      <c r="AQ532" s="548"/>
      <c r="AR532" s="548"/>
      <c r="AS532" s="548"/>
      <c r="AT532" s="548"/>
      <c r="AU532" s="548"/>
      <c r="AV532" s="548"/>
      <c r="AW532" s="548"/>
      <c r="AX532" s="548"/>
      <c r="AY532" s="548"/>
    </row>
    <row r="533" spans="1:51" s="433" customFormat="1">
      <c r="A533" s="505">
        <v>45896</v>
      </c>
      <c r="B533" s="182" t="s">
        <v>2997</v>
      </c>
      <c r="C533" s="182" t="s">
        <v>174</v>
      </c>
      <c r="D533" s="182" t="s">
        <v>121</v>
      </c>
      <c r="E533" s="182">
        <v>2000</v>
      </c>
      <c r="F533" s="325">
        <f t="shared" si="11"/>
        <v>3.5654310071272963</v>
      </c>
      <c r="G533" s="326">
        <v>560.94200000000001</v>
      </c>
      <c r="H533" s="182" t="s">
        <v>317</v>
      </c>
      <c r="I533" s="182" t="s">
        <v>2632</v>
      </c>
      <c r="J533" s="182" t="s">
        <v>98</v>
      </c>
      <c r="K533" s="438" t="s">
        <v>1902</v>
      </c>
      <c r="L533" s="182" t="s">
        <v>155</v>
      </c>
      <c r="M533" s="548"/>
      <c r="N533" s="548"/>
      <c r="O533" s="548"/>
      <c r="P533" s="548"/>
      <c r="Q533" s="548"/>
      <c r="R533" s="548"/>
      <c r="S533" s="548"/>
      <c r="T533" s="548"/>
      <c r="U533" s="548"/>
      <c r="V533" s="548"/>
      <c r="W533" s="548"/>
      <c r="X533" s="548"/>
      <c r="Y533" s="548"/>
      <c r="Z533" s="548"/>
      <c r="AA533" s="548"/>
      <c r="AB533" s="548"/>
      <c r="AC533" s="548"/>
      <c r="AD533" s="548"/>
      <c r="AE533" s="548"/>
      <c r="AF533" s="548"/>
      <c r="AG533" s="548"/>
      <c r="AH533" s="548"/>
      <c r="AI533" s="548"/>
      <c r="AJ533" s="548"/>
      <c r="AK533" s="548"/>
      <c r="AL533" s="548"/>
      <c r="AM533" s="548"/>
      <c r="AN533" s="548"/>
      <c r="AO533" s="548"/>
      <c r="AP533" s="548"/>
      <c r="AQ533" s="548"/>
      <c r="AR533" s="548"/>
      <c r="AS533" s="548"/>
      <c r="AT533" s="548"/>
      <c r="AU533" s="548"/>
      <c r="AV533" s="548"/>
      <c r="AW533" s="548"/>
      <c r="AX533" s="548"/>
      <c r="AY533" s="548"/>
    </row>
    <row r="534" spans="1:51" s="433" customFormat="1">
      <c r="A534" s="505">
        <v>45896</v>
      </c>
      <c r="B534" s="182" t="s">
        <v>3057</v>
      </c>
      <c r="C534" s="182" t="s">
        <v>174</v>
      </c>
      <c r="D534" s="182" t="s">
        <v>121</v>
      </c>
      <c r="E534" s="182">
        <v>1000</v>
      </c>
      <c r="F534" s="325">
        <f t="shared" si="11"/>
        <v>1.7827155035636482</v>
      </c>
      <c r="G534" s="326">
        <v>560.94200000000001</v>
      </c>
      <c r="H534" s="182" t="s">
        <v>317</v>
      </c>
      <c r="I534" s="182" t="s">
        <v>2632</v>
      </c>
      <c r="J534" s="182" t="s">
        <v>98</v>
      </c>
      <c r="K534" s="438" t="s">
        <v>1902</v>
      </c>
      <c r="L534" s="182" t="s">
        <v>155</v>
      </c>
      <c r="M534" s="548"/>
      <c r="N534" s="548"/>
      <c r="O534" s="548"/>
      <c r="P534" s="548"/>
      <c r="Q534" s="548"/>
      <c r="R534" s="548"/>
      <c r="S534" s="548"/>
      <c r="T534" s="548"/>
      <c r="U534" s="548"/>
      <c r="V534" s="548"/>
      <c r="W534" s="548"/>
      <c r="X534" s="548"/>
      <c r="Y534" s="548"/>
      <c r="Z534" s="548"/>
      <c r="AA534" s="548"/>
      <c r="AB534" s="548"/>
      <c r="AC534" s="548"/>
      <c r="AD534" s="548"/>
      <c r="AE534" s="548"/>
      <c r="AF534" s="548"/>
      <c r="AG534" s="548"/>
      <c r="AH534" s="548"/>
      <c r="AI534" s="548"/>
      <c r="AJ534" s="548"/>
      <c r="AK534" s="548"/>
      <c r="AL534" s="548"/>
      <c r="AM534" s="548"/>
      <c r="AN534" s="548"/>
      <c r="AO534" s="548"/>
      <c r="AP534" s="548"/>
      <c r="AQ534" s="548"/>
      <c r="AR534" s="548"/>
      <c r="AS534" s="548"/>
      <c r="AT534" s="548"/>
      <c r="AU534" s="548"/>
      <c r="AV534" s="548"/>
      <c r="AW534" s="548"/>
      <c r="AX534" s="548"/>
      <c r="AY534" s="548"/>
    </row>
    <row r="535" spans="1:51" s="433" customFormat="1">
      <c r="A535" s="505">
        <v>45896</v>
      </c>
      <c r="B535" s="182" t="s">
        <v>2997</v>
      </c>
      <c r="C535" s="182" t="s">
        <v>174</v>
      </c>
      <c r="D535" s="182" t="s">
        <v>121</v>
      </c>
      <c r="E535" s="182">
        <v>1500</v>
      </c>
      <c r="F535" s="325">
        <f t="shared" si="11"/>
        <v>2.6740732553454722</v>
      </c>
      <c r="G535" s="326">
        <v>560.94200000000001</v>
      </c>
      <c r="H535" s="182" t="s">
        <v>317</v>
      </c>
      <c r="I535" s="182" t="s">
        <v>2632</v>
      </c>
      <c r="J535" s="182" t="s">
        <v>98</v>
      </c>
      <c r="K535" s="438" t="s">
        <v>1902</v>
      </c>
      <c r="L535" s="182" t="s">
        <v>155</v>
      </c>
      <c r="M535" s="548"/>
      <c r="N535" s="548"/>
      <c r="O535" s="548"/>
      <c r="P535" s="548"/>
      <c r="Q535" s="548"/>
      <c r="R535" s="548"/>
      <c r="S535" s="548"/>
      <c r="T535" s="548"/>
      <c r="U535" s="548"/>
      <c r="V535" s="548"/>
      <c r="W535" s="548"/>
      <c r="X535" s="548"/>
      <c r="Y535" s="548"/>
      <c r="Z535" s="548"/>
      <c r="AA535" s="548"/>
      <c r="AB535" s="548"/>
      <c r="AC535" s="548"/>
      <c r="AD535" s="548"/>
      <c r="AE535" s="548"/>
      <c r="AF535" s="548"/>
      <c r="AG535" s="548"/>
      <c r="AH535" s="548"/>
      <c r="AI535" s="548"/>
      <c r="AJ535" s="548"/>
      <c r="AK535" s="548"/>
      <c r="AL535" s="548"/>
      <c r="AM535" s="548"/>
      <c r="AN535" s="548"/>
      <c r="AO535" s="548"/>
      <c r="AP535" s="548"/>
      <c r="AQ535" s="548"/>
      <c r="AR535" s="548"/>
      <c r="AS535" s="548"/>
      <c r="AT535" s="548"/>
      <c r="AU535" s="548"/>
      <c r="AV535" s="548"/>
      <c r="AW535" s="548"/>
      <c r="AX535" s="548"/>
      <c r="AY535" s="548"/>
    </row>
    <row r="536" spans="1:51" s="433" customFormat="1">
      <c r="A536" s="505">
        <v>45896</v>
      </c>
      <c r="B536" s="182" t="s">
        <v>2738</v>
      </c>
      <c r="C536" s="182" t="s">
        <v>174</v>
      </c>
      <c r="D536" s="182" t="s">
        <v>117</v>
      </c>
      <c r="E536" s="435">
        <v>1000</v>
      </c>
      <c r="F536" s="325">
        <f t="shared" si="11"/>
        <v>1.7827155035636482</v>
      </c>
      <c r="G536" s="326">
        <v>560.94200000000001</v>
      </c>
      <c r="H536" s="182" t="s">
        <v>193</v>
      </c>
      <c r="I536" s="182" t="s">
        <v>2753</v>
      </c>
      <c r="J536" s="182" t="s">
        <v>98</v>
      </c>
      <c r="K536" s="438" t="s">
        <v>1902</v>
      </c>
      <c r="L536" s="182" t="s">
        <v>155</v>
      </c>
      <c r="M536" s="548"/>
      <c r="N536" s="548"/>
      <c r="O536" s="548"/>
      <c r="P536" s="548"/>
      <c r="Q536" s="548"/>
      <c r="R536" s="548"/>
      <c r="S536" s="548"/>
      <c r="T536" s="548"/>
      <c r="U536" s="548"/>
      <c r="V536" s="548"/>
      <c r="W536" s="548"/>
      <c r="X536" s="548"/>
      <c r="Y536" s="548"/>
      <c r="Z536" s="548"/>
      <c r="AA536" s="548"/>
      <c r="AB536" s="548"/>
      <c r="AC536" s="548"/>
      <c r="AD536" s="548"/>
      <c r="AE536" s="548"/>
      <c r="AF536" s="548"/>
      <c r="AG536" s="548"/>
      <c r="AH536" s="548"/>
      <c r="AI536" s="548"/>
      <c r="AJ536" s="548"/>
      <c r="AK536" s="548"/>
      <c r="AL536" s="548"/>
      <c r="AM536" s="548"/>
      <c r="AN536" s="548"/>
      <c r="AO536" s="548"/>
      <c r="AP536" s="548"/>
      <c r="AQ536" s="548"/>
      <c r="AR536" s="548"/>
      <c r="AS536" s="548"/>
      <c r="AT536" s="548"/>
      <c r="AU536" s="548"/>
      <c r="AV536" s="548"/>
      <c r="AW536" s="548"/>
      <c r="AX536" s="548"/>
      <c r="AY536" s="548"/>
    </row>
    <row r="537" spans="1:51" s="433" customFormat="1">
      <c r="A537" s="506">
        <v>45896</v>
      </c>
      <c r="B537" s="182" t="s">
        <v>2420</v>
      </c>
      <c r="C537" s="182" t="s">
        <v>174</v>
      </c>
      <c r="D537" s="182" t="s">
        <v>117</v>
      </c>
      <c r="E537" s="435">
        <v>84000</v>
      </c>
      <c r="F537" s="325">
        <f t="shared" si="11"/>
        <v>149.74810229934644</v>
      </c>
      <c r="G537" s="326">
        <v>560.94200000000001</v>
      </c>
      <c r="H537" s="182" t="s">
        <v>193</v>
      </c>
      <c r="I537" s="182" t="s">
        <v>2421</v>
      </c>
      <c r="J537" s="182" t="s">
        <v>98</v>
      </c>
      <c r="K537" s="438" t="s">
        <v>1902</v>
      </c>
      <c r="L537" s="182" t="s">
        <v>155</v>
      </c>
      <c r="M537" s="548"/>
      <c r="N537" s="548"/>
      <c r="O537" s="548"/>
      <c r="P537" s="548"/>
      <c r="Q537" s="548"/>
      <c r="R537" s="548"/>
      <c r="S537" s="548"/>
      <c r="T537" s="548"/>
      <c r="U537" s="548"/>
      <c r="V537" s="548"/>
      <c r="W537" s="548"/>
      <c r="X537" s="548"/>
      <c r="Y537" s="548"/>
      <c r="Z537" s="548"/>
      <c r="AA537" s="548"/>
      <c r="AB537" s="548"/>
      <c r="AC537" s="548"/>
      <c r="AD537" s="548"/>
      <c r="AE537" s="548"/>
      <c r="AF537" s="548"/>
      <c r="AG537" s="548"/>
      <c r="AH537" s="548"/>
      <c r="AI537" s="548"/>
      <c r="AJ537" s="548"/>
      <c r="AK537" s="548"/>
      <c r="AL537" s="548"/>
      <c r="AM537" s="548"/>
      <c r="AN537" s="548"/>
      <c r="AO537" s="548"/>
      <c r="AP537" s="548"/>
      <c r="AQ537" s="548"/>
      <c r="AR537" s="548"/>
      <c r="AS537" s="548"/>
      <c r="AT537" s="548"/>
      <c r="AU537" s="548"/>
      <c r="AV537" s="548"/>
      <c r="AW537" s="548"/>
      <c r="AX537" s="548"/>
      <c r="AY537" s="548"/>
    </row>
    <row r="538" spans="1:51" s="433" customFormat="1">
      <c r="A538" s="505">
        <v>45896</v>
      </c>
      <c r="B538" s="182" t="s">
        <v>2740</v>
      </c>
      <c r="C538" s="182" t="s">
        <v>174</v>
      </c>
      <c r="D538" s="182" t="s">
        <v>117</v>
      </c>
      <c r="E538" s="435">
        <v>1000</v>
      </c>
      <c r="F538" s="325">
        <f t="shared" si="11"/>
        <v>1.7827155035636482</v>
      </c>
      <c r="G538" s="326">
        <v>560.94200000000001</v>
      </c>
      <c r="H538" s="182" t="s">
        <v>193</v>
      </c>
      <c r="I538" s="182" t="s">
        <v>2753</v>
      </c>
      <c r="J538" s="182" t="s">
        <v>98</v>
      </c>
      <c r="K538" s="438" t="s">
        <v>1902</v>
      </c>
      <c r="L538" s="182" t="s">
        <v>155</v>
      </c>
      <c r="M538" s="548"/>
      <c r="N538" s="548"/>
      <c r="O538" s="548"/>
      <c r="P538" s="548"/>
      <c r="Q538" s="548"/>
      <c r="R538" s="548"/>
      <c r="S538" s="548"/>
      <c r="T538" s="548"/>
      <c r="U538" s="548"/>
      <c r="V538" s="548"/>
      <c r="W538" s="548"/>
      <c r="X538" s="548"/>
      <c r="Y538" s="548"/>
      <c r="Z538" s="548"/>
      <c r="AA538" s="548"/>
      <c r="AB538" s="548"/>
      <c r="AC538" s="548"/>
      <c r="AD538" s="548"/>
      <c r="AE538" s="548"/>
      <c r="AF538" s="548"/>
      <c r="AG538" s="548"/>
      <c r="AH538" s="548"/>
      <c r="AI538" s="548"/>
      <c r="AJ538" s="548"/>
      <c r="AK538" s="548"/>
      <c r="AL538" s="548"/>
      <c r="AM538" s="548"/>
      <c r="AN538" s="548"/>
      <c r="AO538" s="548"/>
      <c r="AP538" s="548"/>
      <c r="AQ538" s="548"/>
      <c r="AR538" s="548"/>
      <c r="AS538" s="548"/>
      <c r="AT538" s="548"/>
      <c r="AU538" s="548"/>
      <c r="AV538" s="548"/>
      <c r="AW538" s="548"/>
      <c r="AX538" s="548"/>
      <c r="AY538" s="548"/>
    </row>
    <row r="539" spans="1:51" s="433" customFormat="1">
      <c r="A539" s="506">
        <v>45896</v>
      </c>
      <c r="B539" s="182" t="s">
        <v>2422</v>
      </c>
      <c r="C539" s="182" t="s">
        <v>177</v>
      </c>
      <c r="D539" s="182" t="s">
        <v>117</v>
      </c>
      <c r="E539" s="435">
        <v>100000</v>
      </c>
      <c r="F539" s="325">
        <f t="shared" si="11"/>
        <v>178.27155035636483</v>
      </c>
      <c r="G539" s="326">
        <v>560.94200000000001</v>
      </c>
      <c r="H539" s="182" t="s">
        <v>193</v>
      </c>
      <c r="I539" s="182" t="s">
        <v>2423</v>
      </c>
      <c r="J539" s="182" t="s">
        <v>98</v>
      </c>
      <c r="K539" s="438" t="s">
        <v>1902</v>
      </c>
      <c r="L539" s="182" t="s">
        <v>155</v>
      </c>
      <c r="M539" s="548"/>
      <c r="N539" s="548"/>
      <c r="O539" s="548"/>
      <c r="P539" s="548"/>
      <c r="Q539" s="548"/>
      <c r="R539" s="548"/>
      <c r="S539" s="548"/>
      <c r="T539" s="548"/>
      <c r="U539" s="548"/>
      <c r="V539" s="548"/>
      <c r="W539" s="548"/>
      <c r="X539" s="548"/>
      <c r="Y539" s="548"/>
      <c r="Z539" s="548"/>
      <c r="AA539" s="548"/>
      <c r="AB539" s="548"/>
      <c r="AC539" s="548"/>
      <c r="AD539" s="548"/>
      <c r="AE539" s="548"/>
      <c r="AF539" s="548"/>
      <c r="AG539" s="548"/>
      <c r="AH539" s="548"/>
      <c r="AI539" s="548"/>
      <c r="AJ539" s="548"/>
      <c r="AK539" s="548"/>
      <c r="AL539" s="548"/>
      <c r="AM539" s="548"/>
      <c r="AN539" s="548"/>
      <c r="AO539" s="548"/>
      <c r="AP539" s="548"/>
      <c r="AQ539" s="548"/>
      <c r="AR539" s="548"/>
      <c r="AS539" s="548"/>
      <c r="AT539" s="548"/>
      <c r="AU539" s="548"/>
      <c r="AV539" s="548"/>
      <c r="AW539" s="548"/>
      <c r="AX539" s="548"/>
      <c r="AY539" s="548"/>
    </row>
    <row r="540" spans="1:51" s="433" customFormat="1">
      <c r="A540" s="505">
        <v>45896</v>
      </c>
      <c r="B540" s="182" t="s">
        <v>2741</v>
      </c>
      <c r="C540" s="182" t="s">
        <v>174</v>
      </c>
      <c r="D540" s="182" t="s">
        <v>117</v>
      </c>
      <c r="E540" s="435">
        <v>1000</v>
      </c>
      <c r="F540" s="325">
        <f t="shared" si="11"/>
        <v>1.7827155035636482</v>
      </c>
      <c r="G540" s="326">
        <v>560.94200000000001</v>
      </c>
      <c r="H540" s="182" t="s">
        <v>193</v>
      </c>
      <c r="I540" s="182" t="s">
        <v>2753</v>
      </c>
      <c r="J540" s="182" t="s">
        <v>98</v>
      </c>
      <c r="K540" s="438" t="s">
        <v>1902</v>
      </c>
      <c r="L540" s="182" t="s">
        <v>155</v>
      </c>
      <c r="M540" s="548"/>
      <c r="N540" s="548"/>
      <c r="O540" s="548"/>
      <c r="P540" s="548"/>
      <c r="Q540" s="548"/>
      <c r="R540" s="548"/>
      <c r="S540" s="548"/>
      <c r="T540" s="548"/>
      <c r="U540" s="548"/>
      <c r="V540" s="548"/>
      <c r="W540" s="548"/>
      <c r="X540" s="548"/>
      <c r="Y540" s="548"/>
      <c r="Z540" s="548"/>
      <c r="AA540" s="548"/>
      <c r="AB540" s="548"/>
      <c r="AC540" s="548"/>
      <c r="AD540" s="548"/>
      <c r="AE540" s="548"/>
      <c r="AF540" s="548"/>
      <c r="AG540" s="548"/>
      <c r="AH540" s="548"/>
      <c r="AI540" s="548"/>
      <c r="AJ540" s="548"/>
      <c r="AK540" s="548"/>
      <c r="AL540" s="548"/>
      <c r="AM540" s="548"/>
      <c r="AN540" s="548"/>
      <c r="AO540" s="548"/>
      <c r="AP540" s="548"/>
      <c r="AQ540" s="548"/>
      <c r="AR540" s="548"/>
      <c r="AS540" s="548"/>
      <c r="AT540" s="548"/>
      <c r="AU540" s="548"/>
      <c r="AV540" s="548"/>
      <c r="AW540" s="548"/>
      <c r="AX540" s="548"/>
      <c r="AY540" s="548"/>
    </row>
    <row r="541" spans="1:51" s="433" customFormat="1">
      <c r="A541" s="505">
        <v>45896</v>
      </c>
      <c r="B541" s="182" t="s">
        <v>2742</v>
      </c>
      <c r="C541" s="182" t="s">
        <v>174</v>
      </c>
      <c r="D541" s="182" t="s">
        <v>117</v>
      </c>
      <c r="E541" s="435">
        <v>1000</v>
      </c>
      <c r="F541" s="325">
        <f t="shared" si="11"/>
        <v>1.7827155035636482</v>
      </c>
      <c r="G541" s="326">
        <v>560.94200000000001</v>
      </c>
      <c r="H541" s="182" t="s">
        <v>193</v>
      </c>
      <c r="I541" s="182" t="s">
        <v>2753</v>
      </c>
      <c r="J541" s="182" t="s">
        <v>98</v>
      </c>
      <c r="K541" s="438" t="s">
        <v>1902</v>
      </c>
      <c r="L541" s="182" t="s">
        <v>155</v>
      </c>
      <c r="M541" s="548"/>
      <c r="N541" s="548"/>
      <c r="O541" s="548"/>
      <c r="P541" s="548"/>
      <c r="Q541" s="548"/>
      <c r="R541" s="548"/>
      <c r="S541" s="548"/>
      <c r="T541" s="548"/>
      <c r="U541" s="548"/>
      <c r="V541" s="548"/>
      <c r="W541" s="548"/>
      <c r="X541" s="548"/>
      <c r="Y541" s="548"/>
      <c r="Z541" s="548"/>
      <c r="AA541" s="548"/>
      <c r="AB541" s="548"/>
      <c r="AC541" s="548"/>
      <c r="AD541" s="548"/>
      <c r="AE541" s="548"/>
      <c r="AF541" s="548"/>
      <c r="AG541" s="548"/>
      <c r="AH541" s="548"/>
      <c r="AI541" s="548"/>
      <c r="AJ541" s="548"/>
      <c r="AK541" s="548"/>
      <c r="AL541" s="548"/>
      <c r="AM541" s="548"/>
      <c r="AN541" s="548"/>
      <c r="AO541" s="548"/>
      <c r="AP541" s="548"/>
      <c r="AQ541" s="548"/>
      <c r="AR541" s="548"/>
      <c r="AS541" s="548"/>
      <c r="AT541" s="548"/>
      <c r="AU541" s="548"/>
      <c r="AV541" s="548"/>
      <c r="AW541" s="548"/>
      <c r="AX541" s="548"/>
      <c r="AY541" s="548"/>
    </row>
    <row r="542" spans="1:51" s="433" customFormat="1">
      <c r="A542" s="503">
        <v>45896</v>
      </c>
      <c r="B542" s="182" t="s">
        <v>2801</v>
      </c>
      <c r="C542" s="517" t="s">
        <v>196</v>
      </c>
      <c r="D542" s="517" t="s">
        <v>117</v>
      </c>
      <c r="E542" s="496">
        <v>500</v>
      </c>
      <c r="F542" s="325">
        <f t="shared" si="11"/>
        <v>0.89135775178182408</v>
      </c>
      <c r="G542" s="326">
        <v>560.94200000000001</v>
      </c>
      <c r="H542" s="517" t="s">
        <v>437</v>
      </c>
      <c r="I542" s="182" t="s">
        <v>2817</v>
      </c>
      <c r="J542" s="182" t="s">
        <v>98</v>
      </c>
      <c r="K542" s="438" t="s">
        <v>1902</v>
      </c>
      <c r="L542" s="182" t="s">
        <v>155</v>
      </c>
      <c r="M542" s="548"/>
      <c r="N542" s="548"/>
      <c r="O542" s="548"/>
      <c r="P542" s="548"/>
      <c r="Q542" s="548"/>
      <c r="R542" s="548"/>
      <c r="S542" s="548"/>
      <c r="T542" s="548"/>
      <c r="U542" s="548"/>
      <c r="V542" s="548"/>
      <c r="W542" s="548"/>
      <c r="X542" s="548"/>
      <c r="Y542" s="548"/>
      <c r="Z542" s="548"/>
      <c r="AA542" s="548"/>
      <c r="AB542" s="548"/>
      <c r="AC542" s="548"/>
      <c r="AD542" s="548"/>
      <c r="AE542" s="548"/>
      <c r="AF542" s="548"/>
      <c r="AG542" s="548"/>
      <c r="AH542" s="548"/>
      <c r="AI542" s="548"/>
      <c r="AJ542" s="548"/>
      <c r="AK542" s="548"/>
      <c r="AL542" s="548"/>
      <c r="AM542" s="548"/>
      <c r="AN542" s="548"/>
      <c r="AO542" s="548"/>
      <c r="AP542" s="548"/>
      <c r="AQ542" s="548"/>
      <c r="AR542" s="548"/>
      <c r="AS542" s="548"/>
      <c r="AT542" s="548"/>
      <c r="AU542" s="548"/>
      <c r="AV542" s="548"/>
      <c r="AW542" s="548"/>
      <c r="AX542" s="548"/>
      <c r="AY542" s="548"/>
    </row>
    <row r="543" spans="1:51" s="433" customFormat="1">
      <c r="A543" s="503">
        <v>45896</v>
      </c>
      <c r="B543" s="182" t="s">
        <v>2797</v>
      </c>
      <c r="C543" s="182" t="s">
        <v>313</v>
      </c>
      <c r="D543" s="517" t="s">
        <v>117</v>
      </c>
      <c r="E543" s="496">
        <v>1500</v>
      </c>
      <c r="F543" s="325">
        <f t="shared" si="11"/>
        <v>2.6740732553454722</v>
      </c>
      <c r="G543" s="326">
        <v>560.94200000000001</v>
      </c>
      <c r="H543" s="517" t="s">
        <v>437</v>
      </c>
      <c r="I543" s="182" t="s">
        <v>2828</v>
      </c>
      <c r="J543" s="182" t="s">
        <v>98</v>
      </c>
      <c r="K543" s="438" t="s">
        <v>1902</v>
      </c>
      <c r="L543" s="182" t="s">
        <v>155</v>
      </c>
      <c r="M543" s="548"/>
      <c r="N543" s="548"/>
      <c r="O543" s="548"/>
      <c r="P543" s="548"/>
      <c r="Q543" s="548"/>
      <c r="R543" s="548"/>
      <c r="S543" s="548"/>
      <c r="T543" s="548"/>
      <c r="U543" s="548"/>
      <c r="V543" s="548"/>
      <c r="W543" s="548"/>
      <c r="X543" s="548"/>
      <c r="Y543" s="548"/>
      <c r="Z543" s="548"/>
      <c r="AA543" s="548"/>
      <c r="AB543" s="548"/>
      <c r="AC543" s="548"/>
      <c r="AD543" s="548"/>
      <c r="AE543" s="548"/>
      <c r="AF543" s="548"/>
      <c r="AG543" s="548"/>
      <c r="AH543" s="548"/>
      <c r="AI543" s="548"/>
      <c r="AJ543" s="548"/>
      <c r="AK543" s="548"/>
      <c r="AL543" s="548"/>
      <c r="AM543" s="548"/>
      <c r="AN543" s="548"/>
      <c r="AO543" s="548"/>
      <c r="AP543" s="548"/>
      <c r="AQ543" s="548"/>
      <c r="AR543" s="548"/>
      <c r="AS543" s="548"/>
      <c r="AT543" s="548"/>
      <c r="AU543" s="548"/>
      <c r="AV543" s="548"/>
      <c r="AW543" s="548"/>
      <c r="AX543" s="548"/>
      <c r="AY543" s="548"/>
    </row>
    <row r="544" spans="1:51" s="433" customFormat="1">
      <c r="A544" s="503">
        <v>45896</v>
      </c>
      <c r="B544" s="182" t="s">
        <v>2795</v>
      </c>
      <c r="C544" s="517" t="s">
        <v>196</v>
      </c>
      <c r="D544" s="517" t="s">
        <v>117</v>
      </c>
      <c r="E544" s="496">
        <v>500</v>
      </c>
      <c r="F544" s="325">
        <f t="shared" si="11"/>
        <v>0.89135775178182408</v>
      </c>
      <c r="G544" s="326">
        <v>560.94200000000001</v>
      </c>
      <c r="H544" s="517" t="s">
        <v>437</v>
      </c>
      <c r="I544" s="182" t="s">
        <v>2817</v>
      </c>
      <c r="J544" s="182" t="s">
        <v>98</v>
      </c>
      <c r="K544" s="438" t="s">
        <v>1902</v>
      </c>
      <c r="L544" s="182" t="s">
        <v>155</v>
      </c>
      <c r="M544" s="548"/>
      <c r="N544" s="548"/>
      <c r="O544" s="548"/>
      <c r="P544" s="548"/>
      <c r="Q544" s="548"/>
      <c r="R544" s="548"/>
      <c r="S544" s="548"/>
      <c r="T544" s="548"/>
      <c r="U544" s="548"/>
      <c r="V544" s="548"/>
      <c r="W544" s="548"/>
      <c r="X544" s="548"/>
      <c r="Y544" s="548"/>
      <c r="Z544" s="548"/>
      <c r="AA544" s="548"/>
      <c r="AB544" s="548"/>
      <c r="AC544" s="548"/>
      <c r="AD544" s="548"/>
      <c r="AE544" s="548"/>
      <c r="AF544" s="548"/>
      <c r="AG544" s="548"/>
      <c r="AH544" s="548"/>
      <c r="AI544" s="548"/>
      <c r="AJ544" s="548"/>
      <c r="AK544" s="548"/>
      <c r="AL544" s="548"/>
      <c r="AM544" s="548"/>
      <c r="AN544" s="548"/>
      <c r="AO544" s="548"/>
      <c r="AP544" s="548"/>
      <c r="AQ544" s="548"/>
      <c r="AR544" s="548"/>
      <c r="AS544" s="548"/>
      <c r="AT544" s="548"/>
      <c r="AU544" s="548"/>
      <c r="AV544" s="548"/>
      <c r="AW544" s="548"/>
      <c r="AX544" s="548"/>
      <c r="AY544" s="548"/>
    </row>
    <row r="545" spans="1:51" s="433" customFormat="1">
      <c r="A545" s="503">
        <v>45896</v>
      </c>
      <c r="B545" s="182" t="s">
        <v>2802</v>
      </c>
      <c r="C545" s="517" t="s">
        <v>196</v>
      </c>
      <c r="D545" s="517" t="s">
        <v>117</v>
      </c>
      <c r="E545" s="496">
        <v>500</v>
      </c>
      <c r="F545" s="325">
        <f t="shared" si="11"/>
        <v>0.89135775178182408</v>
      </c>
      <c r="G545" s="326">
        <v>560.94200000000001</v>
      </c>
      <c r="H545" s="517" t="s">
        <v>437</v>
      </c>
      <c r="I545" s="182" t="s">
        <v>2817</v>
      </c>
      <c r="J545" s="182" t="s">
        <v>98</v>
      </c>
      <c r="K545" s="438" t="s">
        <v>1902</v>
      </c>
      <c r="L545" s="182" t="s">
        <v>155</v>
      </c>
      <c r="M545" s="548"/>
      <c r="N545" s="548"/>
      <c r="O545" s="548"/>
      <c r="P545" s="548"/>
      <c r="Q545" s="548"/>
      <c r="R545" s="548"/>
      <c r="S545" s="548"/>
      <c r="T545" s="548"/>
      <c r="U545" s="548"/>
      <c r="V545" s="548"/>
      <c r="W545" s="548"/>
      <c r="X545" s="548"/>
      <c r="Y545" s="548"/>
      <c r="Z545" s="548"/>
      <c r="AA545" s="548"/>
      <c r="AB545" s="548"/>
      <c r="AC545" s="548"/>
      <c r="AD545" s="548"/>
      <c r="AE545" s="548"/>
      <c r="AF545" s="548"/>
      <c r="AG545" s="548"/>
      <c r="AH545" s="548"/>
      <c r="AI545" s="548"/>
      <c r="AJ545" s="548"/>
      <c r="AK545" s="548"/>
      <c r="AL545" s="548"/>
      <c r="AM545" s="548"/>
      <c r="AN545" s="548"/>
      <c r="AO545" s="548"/>
      <c r="AP545" s="548"/>
      <c r="AQ545" s="548"/>
      <c r="AR545" s="548"/>
      <c r="AS545" s="548"/>
      <c r="AT545" s="548"/>
      <c r="AU545" s="548"/>
      <c r="AV545" s="548"/>
      <c r="AW545" s="548"/>
      <c r="AX545" s="548"/>
      <c r="AY545" s="548"/>
    </row>
    <row r="546" spans="1:51" s="433" customFormat="1">
      <c r="A546" s="503">
        <v>45896</v>
      </c>
      <c r="B546" s="182" t="s">
        <v>2803</v>
      </c>
      <c r="C546" s="517" t="s">
        <v>196</v>
      </c>
      <c r="D546" s="517" t="s">
        <v>117</v>
      </c>
      <c r="E546" s="496">
        <v>500</v>
      </c>
      <c r="F546" s="325">
        <f t="shared" si="11"/>
        <v>0.89135775178182408</v>
      </c>
      <c r="G546" s="326">
        <v>560.94200000000001</v>
      </c>
      <c r="H546" s="517" t="s">
        <v>437</v>
      </c>
      <c r="I546" s="182" t="s">
        <v>2817</v>
      </c>
      <c r="J546" s="182" t="s">
        <v>98</v>
      </c>
      <c r="K546" s="438" t="s">
        <v>1902</v>
      </c>
      <c r="L546" s="182" t="s">
        <v>155</v>
      </c>
      <c r="M546" s="548"/>
      <c r="N546" s="548"/>
      <c r="O546" s="548"/>
      <c r="P546" s="548"/>
      <c r="Q546" s="548"/>
      <c r="R546" s="548"/>
      <c r="S546" s="548"/>
      <c r="T546" s="548"/>
      <c r="U546" s="548"/>
      <c r="V546" s="548"/>
      <c r="W546" s="548"/>
      <c r="X546" s="548"/>
      <c r="Y546" s="548"/>
      <c r="Z546" s="548"/>
      <c r="AA546" s="548"/>
      <c r="AB546" s="548"/>
      <c r="AC546" s="548"/>
      <c r="AD546" s="548"/>
      <c r="AE546" s="548"/>
      <c r="AF546" s="548"/>
      <c r="AG546" s="548"/>
      <c r="AH546" s="548"/>
      <c r="AI546" s="548"/>
      <c r="AJ546" s="548"/>
      <c r="AK546" s="548"/>
      <c r="AL546" s="548"/>
      <c r="AM546" s="548"/>
      <c r="AN546" s="548"/>
      <c r="AO546" s="548"/>
      <c r="AP546" s="548"/>
      <c r="AQ546" s="548"/>
      <c r="AR546" s="548"/>
      <c r="AS546" s="548"/>
      <c r="AT546" s="548"/>
      <c r="AU546" s="548"/>
      <c r="AV546" s="548"/>
      <c r="AW546" s="548"/>
      <c r="AX546" s="548"/>
      <c r="AY546" s="548"/>
    </row>
    <row r="547" spans="1:51" s="433" customFormat="1">
      <c r="A547" s="503">
        <v>45896</v>
      </c>
      <c r="B547" s="182" t="s">
        <v>2804</v>
      </c>
      <c r="C547" s="517" t="s">
        <v>196</v>
      </c>
      <c r="D547" s="517" t="s">
        <v>117</v>
      </c>
      <c r="E547" s="496">
        <v>500</v>
      </c>
      <c r="F547" s="325">
        <f t="shared" si="11"/>
        <v>0.89135775178182408</v>
      </c>
      <c r="G547" s="326">
        <v>560.94200000000001</v>
      </c>
      <c r="H547" s="517" t="s">
        <v>437</v>
      </c>
      <c r="I547" s="182" t="s">
        <v>2817</v>
      </c>
      <c r="J547" s="182" t="s">
        <v>98</v>
      </c>
      <c r="K547" s="438" t="s">
        <v>1902</v>
      </c>
      <c r="L547" s="182" t="s">
        <v>155</v>
      </c>
      <c r="M547" s="548"/>
      <c r="N547" s="548"/>
      <c r="O547" s="548"/>
      <c r="P547" s="548"/>
      <c r="Q547" s="548"/>
      <c r="R547" s="548"/>
      <c r="S547" s="548"/>
      <c r="T547" s="548"/>
      <c r="U547" s="548"/>
      <c r="V547" s="548"/>
      <c r="W547" s="548"/>
      <c r="X547" s="548"/>
      <c r="Y547" s="548"/>
      <c r="Z547" s="548"/>
      <c r="AA547" s="548"/>
      <c r="AB547" s="548"/>
      <c r="AC547" s="548"/>
      <c r="AD547" s="548"/>
      <c r="AE547" s="548"/>
      <c r="AF547" s="548"/>
      <c r="AG547" s="548"/>
      <c r="AH547" s="548"/>
      <c r="AI547" s="548"/>
      <c r="AJ547" s="548"/>
      <c r="AK547" s="548"/>
      <c r="AL547" s="548"/>
      <c r="AM547" s="548"/>
      <c r="AN547" s="548"/>
      <c r="AO547" s="548"/>
      <c r="AP547" s="548"/>
      <c r="AQ547" s="548"/>
      <c r="AR547" s="548"/>
      <c r="AS547" s="548"/>
      <c r="AT547" s="548"/>
      <c r="AU547" s="548"/>
      <c r="AV547" s="548"/>
      <c r="AW547" s="548"/>
      <c r="AX547" s="548"/>
      <c r="AY547" s="548"/>
    </row>
    <row r="548" spans="1:51" s="433" customFormat="1">
      <c r="A548" s="503">
        <v>45896</v>
      </c>
      <c r="B548" s="182" t="s">
        <v>2805</v>
      </c>
      <c r="C548" s="517" t="s">
        <v>196</v>
      </c>
      <c r="D548" s="517" t="s">
        <v>117</v>
      </c>
      <c r="E548" s="496">
        <v>500</v>
      </c>
      <c r="F548" s="325">
        <f t="shared" si="11"/>
        <v>0.89135775178182408</v>
      </c>
      <c r="G548" s="326">
        <v>560.94200000000001</v>
      </c>
      <c r="H548" s="517" t="s">
        <v>437</v>
      </c>
      <c r="I548" s="182" t="s">
        <v>2817</v>
      </c>
      <c r="J548" s="182" t="s">
        <v>98</v>
      </c>
      <c r="K548" s="438" t="s">
        <v>1902</v>
      </c>
      <c r="L548" s="182" t="s">
        <v>155</v>
      </c>
      <c r="M548" s="548"/>
      <c r="N548" s="548"/>
      <c r="O548" s="548"/>
      <c r="P548" s="548"/>
      <c r="Q548" s="548"/>
      <c r="R548" s="548"/>
      <c r="S548" s="548"/>
      <c r="T548" s="548"/>
      <c r="U548" s="548"/>
      <c r="V548" s="548"/>
      <c r="W548" s="548"/>
      <c r="X548" s="548"/>
      <c r="Y548" s="548"/>
      <c r="Z548" s="548"/>
      <c r="AA548" s="548"/>
      <c r="AB548" s="548"/>
      <c r="AC548" s="548"/>
      <c r="AD548" s="548"/>
      <c r="AE548" s="548"/>
      <c r="AF548" s="548"/>
      <c r="AG548" s="548"/>
      <c r="AH548" s="548"/>
      <c r="AI548" s="548"/>
      <c r="AJ548" s="548"/>
      <c r="AK548" s="548"/>
      <c r="AL548" s="548"/>
      <c r="AM548" s="548"/>
      <c r="AN548" s="548"/>
      <c r="AO548" s="548"/>
      <c r="AP548" s="548"/>
      <c r="AQ548" s="548"/>
      <c r="AR548" s="548"/>
      <c r="AS548" s="548"/>
      <c r="AT548" s="548"/>
      <c r="AU548" s="548"/>
      <c r="AV548" s="548"/>
      <c r="AW548" s="548"/>
      <c r="AX548" s="548"/>
      <c r="AY548" s="548"/>
    </row>
    <row r="549" spans="1:51" s="433" customFormat="1">
      <c r="A549" s="503">
        <v>45896</v>
      </c>
      <c r="B549" s="182" t="s">
        <v>2806</v>
      </c>
      <c r="C549" s="517" t="s">
        <v>196</v>
      </c>
      <c r="D549" s="517" t="s">
        <v>117</v>
      </c>
      <c r="E549" s="496">
        <v>500</v>
      </c>
      <c r="F549" s="325">
        <f t="shared" si="11"/>
        <v>0.89135775178182408</v>
      </c>
      <c r="G549" s="326">
        <v>560.94200000000001</v>
      </c>
      <c r="H549" s="517" t="s">
        <v>437</v>
      </c>
      <c r="I549" s="182" t="s">
        <v>2817</v>
      </c>
      <c r="J549" s="182" t="s">
        <v>98</v>
      </c>
      <c r="K549" s="438" t="s">
        <v>1902</v>
      </c>
      <c r="L549" s="182" t="s">
        <v>155</v>
      </c>
      <c r="M549" s="548"/>
      <c r="N549" s="548"/>
      <c r="O549" s="548"/>
      <c r="P549" s="548"/>
      <c r="Q549" s="548"/>
      <c r="R549" s="548"/>
      <c r="S549" s="548"/>
      <c r="T549" s="548"/>
      <c r="U549" s="548"/>
      <c r="V549" s="548"/>
      <c r="W549" s="548"/>
      <c r="X549" s="548"/>
      <c r="Y549" s="548"/>
      <c r="Z549" s="548"/>
      <c r="AA549" s="548"/>
      <c r="AB549" s="548"/>
      <c r="AC549" s="548"/>
      <c r="AD549" s="548"/>
      <c r="AE549" s="548"/>
      <c r="AF549" s="548"/>
      <c r="AG549" s="548"/>
      <c r="AH549" s="548"/>
      <c r="AI549" s="548"/>
      <c r="AJ549" s="548"/>
      <c r="AK549" s="548"/>
      <c r="AL549" s="548"/>
      <c r="AM549" s="548"/>
      <c r="AN549" s="548"/>
      <c r="AO549" s="548"/>
      <c r="AP549" s="548"/>
      <c r="AQ549" s="548"/>
      <c r="AR549" s="548"/>
      <c r="AS549" s="548"/>
      <c r="AT549" s="548"/>
      <c r="AU549" s="548"/>
      <c r="AV549" s="548"/>
      <c r="AW549" s="548"/>
      <c r="AX549" s="548"/>
      <c r="AY549" s="548"/>
    </row>
    <row r="550" spans="1:51" s="546" customFormat="1">
      <c r="A550" s="503">
        <v>45896</v>
      </c>
      <c r="B550" s="182" t="s">
        <v>2794</v>
      </c>
      <c r="C550" s="182" t="s">
        <v>313</v>
      </c>
      <c r="D550" s="517" t="s">
        <v>117</v>
      </c>
      <c r="E550" s="496">
        <v>1500</v>
      </c>
      <c r="F550" s="325">
        <f t="shared" si="11"/>
        <v>2.6740732553454722</v>
      </c>
      <c r="G550" s="326">
        <v>560.94200000000001</v>
      </c>
      <c r="H550" s="517" t="s">
        <v>437</v>
      </c>
      <c r="I550" s="182" t="s">
        <v>2828</v>
      </c>
      <c r="J550" s="182" t="s">
        <v>98</v>
      </c>
      <c r="K550" s="438" t="s">
        <v>1902</v>
      </c>
      <c r="L550" s="182" t="s">
        <v>155</v>
      </c>
      <c r="M550" s="548"/>
      <c r="N550" s="548"/>
      <c r="O550" s="548"/>
      <c r="P550" s="548"/>
      <c r="Q550" s="548"/>
      <c r="R550" s="548"/>
      <c r="S550" s="548"/>
      <c r="T550" s="548"/>
      <c r="U550" s="548"/>
      <c r="V550" s="548"/>
      <c r="W550" s="548"/>
      <c r="X550" s="548"/>
      <c r="Y550" s="548"/>
      <c r="Z550" s="548"/>
      <c r="AA550" s="548"/>
      <c r="AB550" s="548"/>
      <c r="AC550" s="548"/>
      <c r="AD550" s="548"/>
      <c r="AE550" s="548"/>
      <c r="AF550" s="548"/>
      <c r="AG550" s="548"/>
      <c r="AH550" s="548"/>
      <c r="AI550" s="548"/>
      <c r="AJ550" s="548"/>
      <c r="AK550" s="548"/>
      <c r="AL550" s="548"/>
      <c r="AM550" s="548"/>
      <c r="AN550" s="548"/>
      <c r="AO550" s="548"/>
      <c r="AP550" s="548"/>
      <c r="AQ550" s="548"/>
      <c r="AR550" s="548"/>
      <c r="AS550" s="548"/>
      <c r="AT550" s="548"/>
      <c r="AU550" s="548"/>
      <c r="AV550" s="548"/>
      <c r="AW550" s="548"/>
      <c r="AX550" s="548"/>
      <c r="AY550" s="548"/>
    </row>
    <row r="551" spans="1:51" s="433" customFormat="1">
      <c r="A551" s="503">
        <v>45896</v>
      </c>
      <c r="B551" s="182" t="s">
        <v>2795</v>
      </c>
      <c r="C551" s="517" t="s">
        <v>196</v>
      </c>
      <c r="D551" s="517" t="s">
        <v>117</v>
      </c>
      <c r="E551" s="496">
        <v>500</v>
      </c>
      <c r="F551" s="325">
        <f t="shared" si="11"/>
        <v>0.89135775178182408</v>
      </c>
      <c r="G551" s="326">
        <v>560.94200000000001</v>
      </c>
      <c r="H551" s="517" t="s">
        <v>437</v>
      </c>
      <c r="I551" s="182" t="s">
        <v>2817</v>
      </c>
      <c r="J551" s="182" t="s">
        <v>98</v>
      </c>
      <c r="K551" s="438" t="s">
        <v>1902</v>
      </c>
      <c r="L551" s="182" t="s">
        <v>155</v>
      </c>
      <c r="M551" s="548"/>
      <c r="N551" s="548"/>
      <c r="O551" s="548"/>
      <c r="P551" s="548"/>
      <c r="Q551" s="548"/>
      <c r="R551" s="548"/>
      <c r="S551" s="548"/>
      <c r="T551" s="548"/>
      <c r="U551" s="548"/>
      <c r="V551" s="548"/>
      <c r="W551" s="548"/>
      <c r="X551" s="548"/>
      <c r="Y551" s="548"/>
      <c r="Z551" s="548"/>
      <c r="AA551" s="548"/>
      <c r="AB551" s="548"/>
      <c r="AC551" s="548"/>
      <c r="AD551" s="548"/>
      <c r="AE551" s="548"/>
      <c r="AF551" s="548"/>
      <c r="AG551" s="548"/>
      <c r="AH551" s="548"/>
      <c r="AI551" s="548"/>
      <c r="AJ551" s="548"/>
      <c r="AK551" s="548"/>
      <c r="AL551" s="548"/>
      <c r="AM551" s="548"/>
      <c r="AN551" s="548"/>
      <c r="AO551" s="548"/>
      <c r="AP551" s="548"/>
      <c r="AQ551" s="548"/>
      <c r="AR551" s="548"/>
      <c r="AS551" s="548"/>
      <c r="AT551" s="548"/>
      <c r="AU551" s="548"/>
      <c r="AV551" s="548"/>
      <c r="AW551" s="548"/>
      <c r="AX551" s="548"/>
      <c r="AY551" s="548"/>
    </row>
    <row r="552" spans="1:51" s="433" customFormat="1">
      <c r="A552" s="505">
        <v>45896</v>
      </c>
      <c r="B552" s="182" t="s">
        <v>2843</v>
      </c>
      <c r="C552" s="182" t="s">
        <v>174</v>
      </c>
      <c r="D552" s="182" t="s">
        <v>120</v>
      </c>
      <c r="E552" s="496">
        <v>500</v>
      </c>
      <c r="F552" s="325">
        <f t="shared" si="11"/>
        <v>0.89135775178182408</v>
      </c>
      <c r="G552" s="326">
        <v>560.94200000000001</v>
      </c>
      <c r="H552" s="182" t="s">
        <v>213</v>
      </c>
      <c r="I552" s="182" t="s">
        <v>2853</v>
      </c>
      <c r="J552" s="182" t="s">
        <v>98</v>
      </c>
      <c r="K552" s="438" t="s">
        <v>1902</v>
      </c>
      <c r="L552" s="182" t="s">
        <v>155</v>
      </c>
      <c r="M552" s="548"/>
      <c r="N552" s="548"/>
      <c r="O552" s="548"/>
      <c r="P552" s="548"/>
      <c r="Q552" s="548"/>
      <c r="R552" s="548"/>
      <c r="S552" s="548"/>
      <c r="T552" s="548"/>
      <c r="U552" s="548"/>
      <c r="V552" s="548"/>
      <c r="W552" s="548"/>
      <c r="X552" s="548"/>
      <c r="Y552" s="548"/>
      <c r="Z552" s="548"/>
      <c r="AA552" s="548"/>
      <c r="AB552" s="548"/>
      <c r="AC552" s="548"/>
      <c r="AD552" s="548"/>
      <c r="AE552" s="548"/>
      <c r="AF552" s="548"/>
      <c r="AG552" s="548"/>
      <c r="AH552" s="548"/>
      <c r="AI552" s="548"/>
      <c r="AJ552" s="548"/>
      <c r="AK552" s="548"/>
      <c r="AL552" s="548"/>
      <c r="AM552" s="548"/>
      <c r="AN552" s="548"/>
      <c r="AO552" s="548"/>
      <c r="AP552" s="548"/>
      <c r="AQ552" s="548"/>
      <c r="AR552" s="548"/>
      <c r="AS552" s="548"/>
      <c r="AT552" s="548"/>
      <c r="AU552" s="548"/>
      <c r="AV552" s="548"/>
      <c r="AW552" s="548"/>
      <c r="AX552" s="548"/>
      <c r="AY552" s="548"/>
    </row>
    <row r="553" spans="1:51" s="433" customFormat="1">
      <c r="A553" s="505">
        <v>45896</v>
      </c>
      <c r="B553" s="182" t="s">
        <v>2846</v>
      </c>
      <c r="C553" s="182" t="s">
        <v>174</v>
      </c>
      <c r="D553" s="182" t="s">
        <v>120</v>
      </c>
      <c r="E553" s="496">
        <v>500</v>
      </c>
      <c r="F553" s="325">
        <f t="shared" si="11"/>
        <v>0.89135775178182408</v>
      </c>
      <c r="G553" s="326">
        <v>560.94200000000001</v>
      </c>
      <c r="H553" s="182" t="s">
        <v>213</v>
      </c>
      <c r="I553" s="182" t="s">
        <v>2853</v>
      </c>
      <c r="J553" s="182" t="s">
        <v>98</v>
      </c>
      <c r="K553" s="438" t="s">
        <v>1902</v>
      </c>
      <c r="L553" s="182" t="s">
        <v>155</v>
      </c>
      <c r="M553" s="548"/>
      <c r="N553" s="548"/>
      <c r="O553" s="548"/>
      <c r="P553" s="548"/>
      <c r="Q553" s="548"/>
      <c r="R553" s="548"/>
      <c r="S553" s="548"/>
      <c r="T553" s="548"/>
      <c r="U553" s="548"/>
      <c r="V553" s="548"/>
      <c r="W553" s="548"/>
      <c r="X553" s="548"/>
      <c r="Y553" s="548"/>
      <c r="Z553" s="548"/>
      <c r="AA553" s="548"/>
      <c r="AB553" s="548"/>
      <c r="AC553" s="548"/>
      <c r="AD553" s="548"/>
      <c r="AE553" s="548"/>
      <c r="AF553" s="548"/>
      <c r="AG553" s="548"/>
      <c r="AH553" s="548"/>
      <c r="AI553" s="548"/>
      <c r="AJ553" s="548"/>
      <c r="AK553" s="548"/>
      <c r="AL553" s="548"/>
      <c r="AM553" s="548"/>
      <c r="AN553" s="548"/>
      <c r="AO553" s="548"/>
      <c r="AP553" s="548"/>
      <c r="AQ553" s="548"/>
      <c r="AR553" s="548"/>
      <c r="AS553" s="548"/>
      <c r="AT553" s="548"/>
      <c r="AU553" s="548"/>
      <c r="AV553" s="548"/>
      <c r="AW553" s="548"/>
      <c r="AX553" s="548"/>
      <c r="AY553" s="548"/>
    </row>
    <row r="554" spans="1:51" s="433" customFormat="1">
      <c r="A554" s="505">
        <v>45897</v>
      </c>
      <c r="B554" s="182" t="s">
        <v>2739</v>
      </c>
      <c r="C554" s="182" t="s">
        <v>174</v>
      </c>
      <c r="D554" s="182" t="s">
        <v>117</v>
      </c>
      <c r="E554" s="435">
        <v>37000</v>
      </c>
      <c r="F554" s="325">
        <f t="shared" si="11"/>
        <v>65.960473631854981</v>
      </c>
      <c r="G554" s="326">
        <v>560.94200000000001</v>
      </c>
      <c r="H554" s="182" t="s">
        <v>193</v>
      </c>
      <c r="I554" s="182" t="s">
        <v>2764</v>
      </c>
      <c r="J554" s="182" t="s">
        <v>98</v>
      </c>
      <c r="K554" s="438" t="s">
        <v>1902</v>
      </c>
      <c r="L554" s="182" t="s">
        <v>155</v>
      </c>
      <c r="M554" s="548"/>
      <c r="N554" s="548"/>
      <c r="O554" s="548"/>
      <c r="P554" s="548"/>
      <c r="Q554" s="548"/>
      <c r="R554" s="548"/>
      <c r="S554" s="548"/>
      <c r="T554" s="548"/>
      <c r="U554" s="548"/>
      <c r="V554" s="548"/>
      <c r="W554" s="548"/>
      <c r="X554" s="548"/>
      <c r="Y554" s="548"/>
      <c r="Z554" s="548"/>
      <c r="AA554" s="548"/>
      <c r="AB554" s="548"/>
      <c r="AC554" s="548"/>
      <c r="AD554" s="548"/>
      <c r="AE554" s="548"/>
      <c r="AF554" s="548"/>
      <c r="AG554" s="548"/>
      <c r="AH554" s="548"/>
      <c r="AI554" s="548"/>
      <c r="AJ554" s="548"/>
      <c r="AK554" s="548"/>
      <c r="AL554" s="548"/>
      <c r="AM554" s="548"/>
      <c r="AN554" s="548"/>
      <c r="AO554" s="548"/>
      <c r="AP554" s="548"/>
      <c r="AQ554" s="548"/>
      <c r="AR554" s="548"/>
      <c r="AS554" s="548"/>
      <c r="AT554" s="548"/>
      <c r="AU554" s="548"/>
      <c r="AV554" s="548"/>
      <c r="AW554" s="548"/>
      <c r="AX554" s="548"/>
      <c r="AY554" s="548"/>
    </row>
    <row r="555" spans="1:51" s="433" customFormat="1">
      <c r="A555" s="535">
        <v>45897</v>
      </c>
      <c r="B555" s="517" t="s">
        <v>2099</v>
      </c>
      <c r="C555" s="308" t="s">
        <v>174</v>
      </c>
      <c r="D555" s="308" t="s">
        <v>119</v>
      </c>
      <c r="E555" s="517">
        <v>1000</v>
      </c>
      <c r="F555" s="325">
        <f t="shared" si="11"/>
        <v>1.7827155035636482</v>
      </c>
      <c r="G555" s="326">
        <v>560.94200000000001</v>
      </c>
      <c r="H555" s="524" t="s">
        <v>153</v>
      </c>
      <c r="I555" s="525" t="s">
        <v>2494</v>
      </c>
      <c r="J555" s="182" t="s">
        <v>98</v>
      </c>
      <c r="K555" s="438" t="s">
        <v>1902</v>
      </c>
      <c r="L555" s="182" t="s">
        <v>155</v>
      </c>
      <c r="M555" s="550"/>
      <c r="N555" s="550"/>
      <c r="O555" s="550"/>
      <c r="P555" s="548"/>
      <c r="Q555" s="548"/>
      <c r="R555" s="548"/>
      <c r="S555" s="548"/>
      <c r="T555" s="548"/>
      <c r="U555" s="548"/>
      <c r="V555" s="548"/>
      <c r="W555" s="548"/>
      <c r="X555" s="548"/>
      <c r="Y555" s="548"/>
      <c r="Z555" s="548"/>
      <c r="AA555" s="548"/>
      <c r="AB555" s="548"/>
      <c r="AC555" s="548"/>
      <c r="AD555" s="548"/>
      <c r="AE555" s="548"/>
      <c r="AF555" s="548"/>
      <c r="AG555" s="548"/>
      <c r="AH555" s="548"/>
      <c r="AI555" s="548"/>
      <c r="AJ555" s="548"/>
      <c r="AK555" s="548"/>
      <c r="AL555" s="548"/>
      <c r="AM555" s="548"/>
      <c r="AN555" s="548"/>
      <c r="AO555" s="548"/>
      <c r="AP555" s="548"/>
      <c r="AQ555" s="548"/>
      <c r="AR555" s="548"/>
      <c r="AS555" s="548"/>
      <c r="AT555" s="548"/>
      <c r="AU555" s="548"/>
      <c r="AV555" s="548"/>
      <c r="AW555" s="548"/>
      <c r="AX555" s="548"/>
      <c r="AY555" s="548"/>
    </row>
    <row r="556" spans="1:51" s="433" customFormat="1">
      <c r="A556" s="535">
        <v>45897</v>
      </c>
      <c r="B556" s="517" t="s">
        <v>2108</v>
      </c>
      <c r="C556" s="308" t="s">
        <v>174</v>
      </c>
      <c r="D556" s="308" t="s">
        <v>119</v>
      </c>
      <c r="E556" s="517">
        <v>1000</v>
      </c>
      <c r="F556" s="325">
        <f t="shared" si="11"/>
        <v>1.7827155035636482</v>
      </c>
      <c r="G556" s="326">
        <v>560.94200000000001</v>
      </c>
      <c r="H556" s="524" t="s">
        <v>153</v>
      </c>
      <c r="I556" s="525" t="s">
        <v>2494</v>
      </c>
      <c r="J556" s="182" t="s">
        <v>98</v>
      </c>
      <c r="K556" s="438" t="s">
        <v>1902</v>
      </c>
      <c r="L556" s="182" t="s">
        <v>155</v>
      </c>
      <c r="M556" s="550"/>
      <c r="N556" s="550"/>
      <c r="O556" s="550"/>
      <c r="P556" s="548"/>
      <c r="Q556" s="548"/>
      <c r="R556" s="548"/>
      <c r="S556" s="548"/>
      <c r="T556" s="548"/>
      <c r="U556" s="548"/>
      <c r="V556" s="548"/>
      <c r="W556" s="548"/>
      <c r="X556" s="548"/>
      <c r="Y556" s="548"/>
      <c r="Z556" s="548"/>
      <c r="AA556" s="548"/>
      <c r="AB556" s="548"/>
      <c r="AC556" s="548"/>
      <c r="AD556" s="548"/>
      <c r="AE556" s="548"/>
      <c r="AF556" s="548"/>
      <c r="AG556" s="548"/>
      <c r="AH556" s="548"/>
      <c r="AI556" s="548"/>
      <c r="AJ556" s="548"/>
      <c r="AK556" s="548"/>
      <c r="AL556" s="548"/>
      <c r="AM556" s="548"/>
      <c r="AN556" s="548"/>
      <c r="AO556" s="548"/>
      <c r="AP556" s="548"/>
      <c r="AQ556" s="548"/>
      <c r="AR556" s="548"/>
      <c r="AS556" s="548"/>
      <c r="AT556" s="548"/>
      <c r="AU556" s="548"/>
      <c r="AV556" s="548"/>
      <c r="AW556" s="548"/>
      <c r="AX556" s="548"/>
      <c r="AY556" s="548"/>
    </row>
    <row r="557" spans="1:51" s="433" customFormat="1">
      <c r="A557" s="535">
        <v>45897</v>
      </c>
      <c r="B557" s="517" t="s">
        <v>2109</v>
      </c>
      <c r="C557" s="308" t="s">
        <v>174</v>
      </c>
      <c r="D557" s="308" t="s">
        <v>119</v>
      </c>
      <c r="E557" s="517">
        <v>1000</v>
      </c>
      <c r="F557" s="325">
        <f t="shared" si="11"/>
        <v>1.7827155035636482</v>
      </c>
      <c r="G557" s="326">
        <v>560.94200000000001</v>
      </c>
      <c r="H557" s="524" t="s">
        <v>153</v>
      </c>
      <c r="I557" s="525" t="s">
        <v>2494</v>
      </c>
      <c r="J557" s="182" t="s">
        <v>98</v>
      </c>
      <c r="K557" s="438" t="s">
        <v>1902</v>
      </c>
      <c r="L557" s="182" t="s">
        <v>155</v>
      </c>
      <c r="M557" s="550"/>
      <c r="N557" s="550"/>
      <c r="O557" s="550"/>
      <c r="P557" s="548"/>
      <c r="Q557" s="548"/>
      <c r="R557" s="548"/>
      <c r="S557" s="548"/>
      <c r="T557" s="548"/>
      <c r="U557" s="548"/>
      <c r="V557" s="548"/>
      <c r="W557" s="548"/>
      <c r="X557" s="548"/>
      <c r="Y557" s="548"/>
      <c r="Z557" s="548"/>
      <c r="AA557" s="548"/>
      <c r="AB557" s="548"/>
      <c r="AC557" s="548"/>
      <c r="AD557" s="548"/>
      <c r="AE557" s="548"/>
      <c r="AF557" s="548"/>
      <c r="AG557" s="548"/>
      <c r="AH557" s="548"/>
      <c r="AI557" s="548"/>
      <c r="AJ557" s="548"/>
      <c r="AK557" s="548"/>
      <c r="AL557" s="548"/>
      <c r="AM557" s="548"/>
      <c r="AN557" s="548"/>
      <c r="AO557" s="548"/>
      <c r="AP557" s="548"/>
      <c r="AQ557" s="548"/>
      <c r="AR557" s="548"/>
      <c r="AS557" s="548"/>
      <c r="AT557" s="548"/>
      <c r="AU557" s="548"/>
      <c r="AV557" s="548"/>
      <c r="AW557" s="548"/>
      <c r="AX557" s="548"/>
      <c r="AY557" s="548"/>
    </row>
    <row r="558" spans="1:51" s="433" customFormat="1">
      <c r="A558" s="535">
        <v>45897</v>
      </c>
      <c r="B558" s="517" t="s">
        <v>2100</v>
      </c>
      <c r="C558" s="308" t="s">
        <v>174</v>
      </c>
      <c r="D558" s="308" t="s">
        <v>119</v>
      </c>
      <c r="E558" s="517">
        <v>1000</v>
      </c>
      <c r="F558" s="325">
        <f t="shared" si="11"/>
        <v>1.7827155035636482</v>
      </c>
      <c r="G558" s="326">
        <v>560.94200000000001</v>
      </c>
      <c r="H558" s="524" t="s">
        <v>153</v>
      </c>
      <c r="I558" s="525" t="s">
        <v>2494</v>
      </c>
      <c r="J558" s="182" t="s">
        <v>98</v>
      </c>
      <c r="K558" s="438" t="s">
        <v>1902</v>
      </c>
      <c r="L558" s="182" t="s">
        <v>155</v>
      </c>
      <c r="M558" s="550"/>
      <c r="N558" s="550"/>
      <c r="O558" s="550"/>
      <c r="P558" s="548"/>
      <c r="Q558" s="548"/>
      <c r="R558" s="548"/>
      <c r="S558" s="548"/>
      <c r="T558" s="548"/>
      <c r="U558" s="548"/>
      <c r="V558" s="548"/>
      <c r="W558" s="548"/>
      <c r="X558" s="548"/>
      <c r="Y558" s="548"/>
      <c r="Z558" s="548"/>
      <c r="AA558" s="548"/>
      <c r="AB558" s="548"/>
      <c r="AC558" s="548"/>
      <c r="AD558" s="548"/>
      <c r="AE558" s="548"/>
      <c r="AF558" s="548"/>
      <c r="AG558" s="548"/>
      <c r="AH558" s="548"/>
      <c r="AI558" s="548"/>
      <c r="AJ558" s="548"/>
      <c r="AK558" s="548"/>
      <c r="AL558" s="548"/>
      <c r="AM558" s="548"/>
      <c r="AN558" s="548"/>
      <c r="AO558" s="548"/>
      <c r="AP558" s="548"/>
      <c r="AQ558" s="548"/>
      <c r="AR558" s="548"/>
      <c r="AS558" s="548"/>
      <c r="AT558" s="548"/>
      <c r="AU558" s="548"/>
      <c r="AV558" s="548"/>
      <c r="AW558" s="548"/>
      <c r="AX558" s="548"/>
      <c r="AY558" s="548"/>
    </row>
    <row r="559" spans="1:51" s="433" customFormat="1">
      <c r="A559" s="536">
        <v>45897</v>
      </c>
      <c r="B559" s="516" t="s">
        <v>2484</v>
      </c>
      <c r="C559" s="516" t="s">
        <v>174</v>
      </c>
      <c r="D559" s="516" t="s">
        <v>117</v>
      </c>
      <c r="E559" s="526">
        <v>500</v>
      </c>
      <c r="F559" s="325">
        <f t="shared" si="11"/>
        <v>0.89135775178182408</v>
      </c>
      <c r="G559" s="326">
        <v>560.94200000000001</v>
      </c>
      <c r="H559" s="177" t="s">
        <v>200</v>
      </c>
      <c r="I559" s="516" t="s">
        <v>2489</v>
      </c>
      <c r="J559" s="182" t="s">
        <v>98</v>
      </c>
      <c r="K559" s="438" t="s">
        <v>1902</v>
      </c>
      <c r="L559" s="182" t="s">
        <v>155</v>
      </c>
      <c r="M559" s="550"/>
      <c r="N559" s="550"/>
      <c r="O559" s="550"/>
      <c r="P559" s="548"/>
      <c r="Q559" s="548"/>
      <c r="R559" s="548"/>
      <c r="S559" s="548"/>
      <c r="T559" s="548"/>
      <c r="U559" s="548"/>
      <c r="V559" s="548"/>
      <c r="W559" s="548"/>
      <c r="X559" s="548"/>
      <c r="Y559" s="548"/>
      <c r="Z559" s="548"/>
      <c r="AA559" s="548"/>
      <c r="AB559" s="548"/>
      <c r="AC559" s="548"/>
      <c r="AD559" s="548"/>
      <c r="AE559" s="548"/>
      <c r="AF559" s="548"/>
      <c r="AG559" s="548"/>
      <c r="AH559" s="548"/>
      <c r="AI559" s="548"/>
      <c r="AJ559" s="548"/>
      <c r="AK559" s="548"/>
      <c r="AL559" s="548"/>
      <c r="AM559" s="548"/>
      <c r="AN559" s="548"/>
      <c r="AO559" s="548"/>
      <c r="AP559" s="548"/>
      <c r="AQ559" s="548"/>
      <c r="AR559" s="548"/>
      <c r="AS559" s="548"/>
      <c r="AT559" s="548"/>
      <c r="AU559" s="548"/>
      <c r="AV559" s="548"/>
      <c r="AW559" s="548"/>
      <c r="AX559" s="548"/>
      <c r="AY559" s="548"/>
    </row>
    <row r="560" spans="1:51" s="433" customFormat="1">
      <c r="A560" s="536">
        <v>45897</v>
      </c>
      <c r="B560" s="516" t="s">
        <v>2483</v>
      </c>
      <c r="C560" s="516" t="s">
        <v>174</v>
      </c>
      <c r="D560" s="516" t="s">
        <v>117</v>
      </c>
      <c r="E560" s="526">
        <v>500</v>
      </c>
      <c r="F560" s="325">
        <f t="shared" ref="F560:F591" si="12">E560/G560</f>
        <v>0.89135775178182408</v>
      </c>
      <c r="G560" s="326">
        <v>560.94200000000001</v>
      </c>
      <c r="H560" s="177" t="s">
        <v>200</v>
      </c>
      <c r="I560" s="516" t="s">
        <v>2489</v>
      </c>
      <c r="J560" s="182" t="s">
        <v>98</v>
      </c>
      <c r="K560" s="438" t="s">
        <v>1902</v>
      </c>
      <c r="L560" s="182" t="s">
        <v>155</v>
      </c>
      <c r="M560" s="550"/>
      <c r="N560" s="550"/>
      <c r="O560" s="550"/>
      <c r="P560" s="548"/>
      <c r="Q560" s="548"/>
      <c r="R560" s="548"/>
      <c r="S560" s="548"/>
      <c r="T560" s="548"/>
      <c r="U560" s="548"/>
      <c r="V560" s="548"/>
      <c r="W560" s="548"/>
      <c r="X560" s="548"/>
      <c r="Y560" s="548"/>
      <c r="Z560" s="548"/>
      <c r="AA560" s="548"/>
      <c r="AB560" s="548"/>
      <c r="AC560" s="548"/>
      <c r="AD560" s="548"/>
      <c r="AE560" s="548"/>
      <c r="AF560" s="548"/>
      <c r="AG560" s="548"/>
      <c r="AH560" s="548"/>
      <c r="AI560" s="548"/>
      <c r="AJ560" s="548"/>
      <c r="AK560" s="548"/>
      <c r="AL560" s="548"/>
      <c r="AM560" s="548"/>
      <c r="AN560" s="548"/>
      <c r="AO560" s="548"/>
      <c r="AP560" s="548"/>
      <c r="AQ560" s="548"/>
      <c r="AR560" s="548"/>
      <c r="AS560" s="548"/>
      <c r="AT560" s="548"/>
      <c r="AU560" s="548"/>
      <c r="AV560" s="548"/>
      <c r="AW560" s="548"/>
      <c r="AX560" s="548"/>
      <c r="AY560" s="548"/>
    </row>
    <row r="561" spans="1:51" s="433" customFormat="1">
      <c r="A561" s="467">
        <v>45897</v>
      </c>
      <c r="B561" s="177" t="s">
        <v>3037</v>
      </c>
      <c r="C561" s="177" t="s">
        <v>174</v>
      </c>
      <c r="D561" s="177" t="s">
        <v>121</v>
      </c>
      <c r="E561" s="177">
        <v>500</v>
      </c>
      <c r="F561" s="325">
        <f t="shared" si="12"/>
        <v>0.89135775178182408</v>
      </c>
      <c r="G561" s="326">
        <v>560.94200000000001</v>
      </c>
      <c r="H561" s="177" t="s">
        <v>184</v>
      </c>
      <c r="I561" s="177" t="s">
        <v>2558</v>
      </c>
      <c r="J561" s="182" t="s">
        <v>98</v>
      </c>
      <c r="K561" s="438" t="s">
        <v>1902</v>
      </c>
      <c r="L561" s="182" t="s">
        <v>155</v>
      </c>
      <c r="M561" s="548"/>
      <c r="N561" s="548"/>
      <c r="O561" s="548"/>
      <c r="P561" s="548"/>
      <c r="Q561" s="548"/>
      <c r="R561" s="548"/>
      <c r="S561" s="548"/>
      <c r="T561" s="548"/>
      <c r="U561" s="548"/>
      <c r="V561" s="548"/>
      <c r="W561" s="548"/>
      <c r="X561" s="548"/>
      <c r="Y561" s="548"/>
      <c r="Z561" s="548"/>
      <c r="AA561" s="548"/>
      <c r="AB561" s="548"/>
      <c r="AC561" s="548"/>
      <c r="AD561" s="548"/>
      <c r="AE561" s="548"/>
      <c r="AF561" s="548"/>
      <c r="AG561" s="548"/>
      <c r="AH561" s="548"/>
      <c r="AI561" s="548"/>
      <c r="AJ561" s="548"/>
      <c r="AK561" s="548"/>
      <c r="AL561" s="548"/>
      <c r="AM561" s="548"/>
      <c r="AN561" s="548"/>
      <c r="AO561" s="548"/>
      <c r="AP561" s="548"/>
      <c r="AQ561" s="548"/>
      <c r="AR561" s="548"/>
      <c r="AS561" s="548"/>
      <c r="AT561" s="548"/>
      <c r="AU561" s="548"/>
      <c r="AV561" s="548"/>
      <c r="AW561" s="548"/>
      <c r="AX561" s="548"/>
      <c r="AY561" s="548"/>
    </row>
    <row r="562" spans="1:51" s="433" customFormat="1">
      <c r="A562" s="467">
        <v>45897</v>
      </c>
      <c r="B562" s="177" t="s">
        <v>3042</v>
      </c>
      <c r="C562" s="177" t="s">
        <v>174</v>
      </c>
      <c r="D562" s="177" t="s">
        <v>121</v>
      </c>
      <c r="E562" s="177">
        <v>500</v>
      </c>
      <c r="F562" s="325">
        <f t="shared" si="12"/>
        <v>0.89135775178182408</v>
      </c>
      <c r="G562" s="326">
        <v>560.94200000000001</v>
      </c>
      <c r="H562" s="177" t="s">
        <v>184</v>
      </c>
      <c r="I562" s="177" t="s">
        <v>2558</v>
      </c>
      <c r="J562" s="182" t="s">
        <v>98</v>
      </c>
      <c r="K562" s="438" t="s">
        <v>1902</v>
      </c>
      <c r="L562" s="182" t="s">
        <v>155</v>
      </c>
      <c r="M562" s="548"/>
      <c r="N562" s="548"/>
      <c r="O562" s="548"/>
      <c r="P562" s="548"/>
      <c r="Q562" s="548"/>
      <c r="R562" s="548"/>
      <c r="S562" s="548"/>
      <c r="T562" s="548"/>
      <c r="U562" s="548"/>
      <c r="V562" s="548"/>
      <c r="W562" s="548"/>
      <c r="X562" s="548"/>
      <c r="Y562" s="548"/>
      <c r="Z562" s="548"/>
      <c r="AA562" s="548"/>
      <c r="AB562" s="548"/>
      <c r="AC562" s="548"/>
      <c r="AD562" s="548"/>
      <c r="AE562" s="548"/>
      <c r="AF562" s="548"/>
      <c r="AG562" s="548"/>
      <c r="AH562" s="548"/>
      <c r="AI562" s="548"/>
      <c r="AJ562" s="548"/>
      <c r="AK562" s="548"/>
      <c r="AL562" s="548"/>
      <c r="AM562" s="548"/>
      <c r="AN562" s="548"/>
      <c r="AO562" s="548"/>
      <c r="AP562" s="548"/>
      <c r="AQ562" s="548"/>
      <c r="AR562" s="548"/>
      <c r="AS562" s="548"/>
      <c r="AT562" s="548"/>
      <c r="AU562" s="548"/>
      <c r="AV562" s="548"/>
      <c r="AW562" s="548"/>
      <c r="AX562" s="548"/>
      <c r="AY562" s="548"/>
    </row>
    <row r="563" spans="1:51" s="433" customFormat="1">
      <c r="A563" s="467">
        <v>45897</v>
      </c>
      <c r="B563" s="177" t="s">
        <v>3042</v>
      </c>
      <c r="C563" s="177" t="s">
        <v>174</v>
      </c>
      <c r="D563" s="177" t="s">
        <v>121</v>
      </c>
      <c r="E563" s="177">
        <v>500</v>
      </c>
      <c r="F563" s="325">
        <f t="shared" si="12"/>
        <v>0.89135775178182408</v>
      </c>
      <c r="G563" s="326">
        <v>560.94200000000001</v>
      </c>
      <c r="H563" s="177" t="s">
        <v>184</v>
      </c>
      <c r="I563" s="177" t="s">
        <v>2558</v>
      </c>
      <c r="J563" s="182" t="s">
        <v>98</v>
      </c>
      <c r="K563" s="438" t="s">
        <v>1902</v>
      </c>
      <c r="L563" s="182" t="s">
        <v>155</v>
      </c>
      <c r="M563" s="548"/>
      <c r="N563" s="548"/>
      <c r="O563" s="548"/>
      <c r="P563" s="548"/>
      <c r="Q563" s="548"/>
      <c r="R563" s="548"/>
      <c r="S563" s="548"/>
      <c r="T563" s="548"/>
      <c r="U563" s="548"/>
      <c r="V563" s="548"/>
      <c r="W563" s="548"/>
      <c r="X563" s="548"/>
      <c r="Y563" s="548"/>
      <c r="Z563" s="548"/>
      <c r="AA563" s="548"/>
      <c r="AB563" s="548"/>
      <c r="AC563" s="548"/>
      <c r="AD563" s="548"/>
      <c r="AE563" s="548"/>
      <c r="AF563" s="548"/>
      <c r="AG563" s="548"/>
      <c r="AH563" s="548"/>
      <c r="AI563" s="548"/>
      <c r="AJ563" s="548"/>
      <c r="AK563" s="548"/>
      <c r="AL563" s="548"/>
      <c r="AM563" s="548"/>
      <c r="AN563" s="548"/>
      <c r="AO563" s="548"/>
      <c r="AP563" s="548"/>
      <c r="AQ563" s="548"/>
      <c r="AR563" s="548"/>
      <c r="AS563" s="548"/>
      <c r="AT563" s="548"/>
      <c r="AU563" s="548"/>
      <c r="AV563" s="548"/>
      <c r="AW563" s="548"/>
      <c r="AX563" s="548"/>
      <c r="AY563" s="548"/>
    </row>
    <row r="564" spans="1:51" s="433" customFormat="1">
      <c r="A564" s="505">
        <v>45897</v>
      </c>
      <c r="B564" s="182" t="s">
        <v>3063</v>
      </c>
      <c r="C564" s="182" t="s">
        <v>174</v>
      </c>
      <c r="D564" s="182" t="s">
        <v>121</v>
      </c>
      <c r="E564" s="496">
        <v>1000</v>
      </c>
      <c r="F564" s="325">
        <f t="shared" si="12"/>
        <v>1.7827155035636482</v>
      </c>
      <c r="G564" s="326">
        <v>560.94200000000001</v>
      </c>
      <c r="H564" s="182" t="s">
        <v>323</v>
      </c>
      <c r="I564" s="182" t="s">
        <v>2671</v>
      </c>
      <c r="J564" s="182" t="s">
        <v>98</v>
      </c>
      <c r="K564" s="438" t="s">
        <v>1902</v>
      </c>
      <c r="L564" s="182" t="s">
        <v>155</v>
      </c>
      <c r="M564" s="548"/>
      <c r="N564" s="548"/>
      <c r="O564" s="548"/>
      <c r="P564" s="548"/>
      <c r="Q564" s="548"/>
      <c r="R564" s="548"/>
      <c r="S564" s="548"/>
      <c r="T564" s="548"/>
      <c r="U564" s="548"/>
      <c r="V564" s="548"/>
      <c r="W564" s="548"/>
      <c r="X564" s="548"/>
      <c r="Y564" s="548"/>
      <c r="Z564" s="548"/>
      <c r="AA564" s="548"/>
      <c r="AB564" s="548"/>
      <c r="AC564" s="548"/>
      <c r="AD564" s="548"/>
      <c r="AE564" s="548"/>
      <c r="AF564" s="548"/>
      <c r="AG564" s="548"/>
      <c r="AH564" s="548"/>
      <c r="AI564" s="548"/>
      <c r="AJ564" s="548"/>
      <c r="AK564" s="548"/>
      <c r="AL564" s="548"/>
      <c r="AM564" s="548"/>
      <c r="AN564" s="548"/>
      <c r="AO564" s="548"/>
      <c r="AP564" s="548"/>
      <c r="AQ564" s="548"/>
      <c r="AR564" s="548"/>
      <c r="AS564" s="548"/>
      <c r="AT564" s="548"/>
      <c r="AU564" s="548"/>
      <c r="AV564" s="548"/>
      <c r="AW564" s="548"/>
      <c r="AX564" s="548"/>
      <c r="AY564" s="548"/>
    </row>
    <row r="565" spans="1:51" s="433" customFormat="1">
      <c r="A565" s="505">
        <v>45897</v>
      </c>
      <c r="B565" s="182" t="s">
        <v>3060</v>
      </c>
      <c r="C565" s="182" t="s">
        <v>174</v>
      </c>
      <c r="D565" s="182" t="s">
        <v>121</v>
      </c>
      <c r="E565" s="496">
        <v>1000</v>
      </c>
      <c r="F565" s="325">
        <f t="shared" si="12"/>
        <v>1.7827155035636482</v>
      </c>
      <c r="G565" s="326">
        <v>560.94200000000001</v>
      </c>
      <c r="H565" s="182" t="s">
        <v>323</v>
      </c>
      <c r="I565" s="182" t="s">
        <v>2671</v>
      </c>
      <c r="J565" s="182" t="s">
        <v>98</v>
      </c>
      <c r="K565" s="438" t="s">
        <v>1902</v>
      </c>
      <c r="L565" s="182" t="s">
        <v>155</v>
      </c>
      <c r="M565" s="548"/>
      <c r="N565" s="548"/>
      <c r="O565" s="548"/>
      <c r="P565" s="548"/>
      <c r="Q565" s="548"/>
      <c r="R565" s="548"/>
      <c r="S565" s="548"/>
      <c r="T565" s="548"/>
      <c r="U565" s="548"/>
      <c r="V565" s="548"/>
      <c r="W565" s="548"/>
      <c r="X565" s="548"/>
      <c r="Y565" s="548"/>
      <c r="Z565" s="548"/>
      <c r="AA565" s="548"/>
      <c r="AB565" s="548"/>
      <c r="AC565" s="548"/>
      <c r="AD565" s="548"/>
      <c r="AE565" s="548"/>
      <c r="AF565" s="548"/>
      <c r="AG565" s="548"/>
      <c r="AH565" s="548"/>
      <c r="AI565" s="548"/>
      <c r="AJ565" s="548"/>
      <c r="AK565" s="548"/>
      <c r="AL565" s="548"/>
      <c r="AM565" s="548"/>
      <c r="AN565" s="548"/>
      <c r="AO565" s="548"/>
      <c r="AP565" s="548"/>
      <c r="AQ565" s="548"/>
      <c r="AR565" s="548"/>
      <c r="AS565" s="548"/>
      <c r="AT565" s="548"/>
      <c r="AU565" s="548"/>
      <c r="AV565" s="548"/>
      <c r="AW565" s="548"/>
      <c r="AX565" s="548"/>
      <c r="AY565" s="548"/>
    </row>
    <row r="566" spans="1:51" s="433" customFormat="1">
      <c r="A566" s="505">
        <v>45897</v>
      </c>
      <c r="B566" s="182" t="s">
        <v>3060</v>
      </c>
      <c r="C566" s="182" t="s">
        <v>174</v>
      </c>
      <c r="D566" s="182" t="s">
        <v>121</v>
      </c>
      <c r="E566" s="496">
        <v>1000</v>
      </c>
      <c r="F566" s="325">
        <f t="shared" si="12"/>
        <v>1.7827155035636482</v>
      </c>
      <c r="G566" s="326">
        <v>560.94200000000001</v>
      </c>
      <c r="H566" s="182" t="s">
        <v>323</v>
      </c>
      <c r="I566" s="182" t="s">
        <v>2671</v>
      </c>
      <c r="J566" s="182" t="s">
        <v>98</v>
      </c>
      <c r="K566" s="438" t="s">
        <v>1902</v>
      </c>
      <c r="L566" s="182" t="s">
        <v>155</v>
      </c>
      <c r="M566" s="548"/>
      <c r="N566" s="548"/>
      <c r="O566" s="548"/>
      <c r="P566" s="548"/>
      <c r="Q566" s="548"/>
      <c r="R566" s="548"/>
      <c r="S566" s="548"/>
      <c r="T566" s="548"/>
      <c r="U566" s="548"/>
      <c r="V566" s="548"/>
      <c r="W566" s="548"/>
      <c r="X566" s="548"/>
      <c r="Y566" s="548"/>
      <c r="Z566" s="548"/>
      <c r="AA566" s="548"/>
      <c r="AB566" s="548"/>
      <c r="AC566" s="548"/>
      <c r="AD566" s="548"/>
      <c r="AE566" s="548"/>
      <c r="AF566" s="548"/>
      <c r="AG566" s="548"/>
      <c r="AH566" s="548"/>
      <c r="AI566" s="548"/>
      <c r="AJ566" s="548"/>
      <c r="AK566" s="548"/>
      <c r="AL566" s="548"/>
      <c r="AM566" s="548"/>
      <c r="AN566" s="548"/>
      <c r="AO566" s="548"/>
      <c r="AP566" s="548"/>
      <c r="AQ566" s="548"/>
      <c r="AR566" s="548"/>
      <c r="AS566" s="548"/>
      <c r="AT566" s="548"/>
      <c r="AU566" s="548"/>
      <c r="AV566" s="548"/>
      <c r="AW566" s="548"/>
      <c r="AX566" s="548"/>
      <c r="AY566" s="548"/>
    </row>
    <row r="567" spans="1:51" s="433" customFormat="1">
      <c r="A567" s="505">
        <v>45897</v>
      </c>
      <c r="B567" s="182" t="s">
        <v>3052</v>
      </c>
      <c r="C567" s="182" t="s">
        <v>174</v>
      </c>
      <c r="D567" s="182" t="s">
        <v>121</v>
      </c>
      <c r="E567" s="496">
        <v>1000</v>
      </c>
      <c r="F567" s="325">
        <f t="shared" si="12"/>
        <v>1.7827155035636482</v>
      </c>
      <c r="G567" s="326">
        <v>560.94200000000001</v>
      </c>
      <c r="H567" s="182" t="s">
        <v>323</v>
      </c>
      <c r="I567" s="182" t="s">
        <v>2671</v>
      </c>
      <c r="J567" s="182" t="s">
        <v>98</v>
      </c>
      <c r="K567" s="438" t="s">
        <v>1902</v>
      </c>
      <c r="L567" s="182" t="s">
        <v>155</v>
      </c>
      <c r="M567" s="548"/>
      <c r="N567" s="548"/>
      <c r="O567" s="548"/>
      <c r="P567" s="548"/>
      <c r="Q567" s="548"/>
      <c r="R567" s="548"/>
      <c r="S567" s="548"/>
      <c r="T567" s="548"/>
      <c r="U567" s="548"/>
      <c r="V567" s="548"/>
      <c r="W567" s="548"/>
      <c r="X567" s="548"/>
      <c r="Y567" s="548"/>
      <c r="Z567" s="548"/>
      <c r="AA567" s="548"/>
      <c r="AB567" s="548"/>
      <c r="AC567" s="548"/>
      <c r="AD567" s="548"/>
      <c r="AE567" s="548"/>
      <c r="AF567" s="548"/>
      <c r="AG567" s="548"/>
      <c r="AH567" s="548"/>
      <c r="AI567" s="548"/>
      <c r="AJ567" s="548"/>
      <c r="AK567" s="548"/>
      <c r="AL567" s="548"/>
      <c r="AM567" s="548"/>
      <c r="AN567" s="548"/>
      <c r="AO567" s="548"/>
      <c r="AP567" s="548"/>
      <c r="AQ567" s="548"/>
      <c r="AR567" s="548"/>
      <c r="AS567" s="548"/>
      <c r="AT567" s="548"/>
      <c r="AU567" s="548"/>
      <c r="AV567" s="548"/>
      <c r="AW567" s="548"/>
      <c r="AX567" s="548"/>
      <c r="AY567" s="548"/>
    </row>
    <row r="568" spans="1:51" s="433" customFormat="1">
      <c r="A568" s="505">
        <v>45897</v>
      </c>
      <c r="B568" s="182" t="s">
        <v>2743</v>
      </c>
      <c r="C568" s="182" t="s">
        <v>174</v>
      </c>
      <c r="D568" s="182" t="s">
        <v>117</v>
      </c>
      <c r="E568" s="435">
        <v>1000</v>
      </c>
      <c r="F568" s="325">
        <f t="shared" si="12"/>
        <v>1.7827155035636482</v>
      </c>
      <c r="G568" s="326">
        <v>560.94200000000001</v>
      </c>
      <c r="H568" s="182" t="s">
        <v>193</v>
      </c>
      <c r="I568" s="182" t="s">
        <v>2753</v>
      </c>
      <c r="J568" s="182" t="s">
        <v>98</v>
      </c>
      <c r="K568" s="438" t="s">
        <v>1902</v>
      </c>
      <c r="L568" s="182" t="s">
        <v>155</v>
      </c>
      <c r="M568" s="548"/>
      <c r="N568" s="548"/>
      <c r="O568" s="548"/>
      <c r="P568" s="548"/>
      <c r="Q568" s="548"/>
      <c r="R568" s="548"/>
      <c r="S568" s="548"/>
      <c r="T568" s="548"/>
      <c r="U568" s="548"/>
      <c r="V568" s="548"/>
      <c r="W568" s="548"/>
      <c r="X568" s="548"/>
      <c r="Y568" s="548"/>
      <c r="Z568" s="548"/>
      <c r="AA568" s="548"/>
      <c r="AB568" s="548"/>
      <c r="AC568" s="548"/>
      <c r="AD568" s="548"/>
      <c r="AE568" s="548"/>
      <c r="AF568" s="548"/>
      <c r="AG568" s="548"/>
      <c r="AH568" s="548"/>
      <c r="AI568" s="548"/>
      <c r="AJ568" s="548"/>
      <c r="AK568" s="548"/>
      <c r="AL568" s="548"/>
      <c r="AM568" s="548"/>
      <c r="AN568" s="548"/>
      <c r="AO568" s="548"/>
      <c r="AP568" s="548"/>
      <c r="AQ568" s="548"/>
      <c r="AR568" s="548"/>
      <c r="AS568" s="548"/>
      <c r="AT568" s="548"/>
      <c r="AU568" s="548"/>
      <c r="AV568" s="548"/>
      <c r="AW568" s="548"/>
      <c r="AX568" s="548"/>
      <c r="AY568" s="548"/>
    </row>
    <row r="569" spans="1:51" s="433" customFormat="1">
      <c r="A569" s="505">
        <v>45897</v>
      </c>
      <c r="B569" s="182" t="s">
        <v>2744</v>
      </c>
      <c r="C569" s="182" t="s">
        <v>174</v>
      </c>
      <c r="D569" s="182" t="s">
        <v>117</v>
      </c>
      <c r="E569" s="435">
        <v>500</v>
      </c>
      <c r="F569" s="325">
        <f t="shared" si="12"/>
        <v>0.89135775178182408</v>
      </c>
      <c r="G569" s="326">
        <v>560.94200000000001</v>
      </c>
      <c r="H569" s="182" t="s">
        <v>193</v>
      </c>
      <c r="I569" s="182" t="s">
        <v>2753</v>
      </c>
      <c r="J569" s="182" t="s">
        <v>98</v>
      </c>
      <c r="K569" s="438" t="s">
        <v>1902</v>
      </c>
      <c r="L569" s="182" t="s">
        <v>155</v>
      </c>
      <c r="M569" s="548"/>
      <c r="N569" s="548"/>
      <c r="O569" s="548"/>
      <c r="P569" s="548"/>
      <c r="Q569" s="548"/>
      <c r="R569" s="548"/>
      <c r="S569" s="548"/>
      <c r="T569" s="548"/>
      <c r="U569" s="548"/>
      <c r="V569" s="548"/>
      <c r="W569" s="548"/>
      <c r="X569" s="548"/>
      <c r="Y569" s="548"/>
      <c r="Z569" s="548"/>
      <c r="AA569" s="548"/>
      <c r="AB569" s="548"/>
      <c r="AC569" s="548"/>
      <c r="AD569" s="548"/>
      <c r="AE569" s="548"/>
      <c r="AF569" s="548"/>
      <c r="AG569" s="548"/>
      <c r="AH569" s="548"/>
      <c r="AI569" s="548"/>
      <c r="AJ569" s="548"/>
      <c r="AK569" s="548"/>
      <c r="AL569" s="548"/>
      <c r="AM569" s="548"/>
      <c r="AN569" s="548"/>
      <c r="AO569" s="548"/>
      <c r="AP569" s="548"/>
      <c r="AQ569" s="548"/>
      <c r="AR569" s="548"/>
      <c r="AS569" s="548"/>
      <c r="AT569" s="548"/>
      <c r="AU569" s="548"/>
      <c r="AV569" s="548"/>
      <c r="AW569" s="548"/>
      <c r="AX569" s="548"/>
      <c r="AY569" s="548"/>
    </row>
    <row r="570" spans="1:51" s="433" customFormat="1">
      <c r="A570" s="505">
        <v>45897</v>
      </c>
      <c r="B570" s="182" t="s">
        <v>2745</v>
      </c>
      <c r="C570" s="182" t="s">
        <v>177</v>
      </c>
      <c r="D570" s="182" t="s">
        <v>117</v>
      </c>
      <c r="E570" s="435">
        <v>40000</v>
      </c>
      <c r="F570" s="325">
        <f t="shared" si="12"/>
        <v>71.308620142545934</v>
      </c>
      <c r="G570" s="326">
        <v>560.94200000000001</v>
      </c>
      <c r="H570" s="182" t="s">
        <v>193</v>
      </c>
      <c r="I570" s="182" t="s">
        <v>2765</v>
      </c>
      <c r="J570" s="182" t="s">
        <v>98</v>
      </c>
      <c r="K570" s="438" t="s">
        <v>1902</v>
      </c>
      <c r="L570" s="182" t="s">
        <v>155</v>
      </c>
      <c r="M570" s="548"/>
      <c r="N570" s="548"/>
      <c r="O570" s="548"/>
      <c r="P570" s="548"/>
      <c r="Q570" s="548"/>
      <c r="R570" s="548"/>
      <c r="S570" s="548"/>
      <c r="T570" s="548"/>
      <c r="U570" s="548"/>
      <c r="V570" s="548"/>
      <c r="W570" s="548"/>
      <c r="X570" s="548"/>
      <c r="Y570" s="548"/>
      <c r="Z570" s="548"/>
      <c r="AA570" s="548"/>
      <c r="AB570" s="548"/>
      <c r="AC570" s="548"/>
      <c r="AD570" s="548"/>
      <c r="AE570" s="548"/>
      <c r="AF570" s="548"/>
      <c r="AG570" s="548"/>
      <c r="AH570" s="548"/>
      <c r="AI570" s="548"/>
      <c r="AJ570" s="548"/>
      <c r="AK570" s="548"/>
      <c r="AL570" s="548"/>
      <c r="AM570" s="548"/>
      <c r="AN570" s="548"/>
      <c r="AO570" s="548"/>
      <c r="AP570" s="548"/>
      <c r="AQ570" s="548"/>
      <c r="AR570" s="548"/>
      <c r="AS570" s="548"/>
      <c r="AT570" s="548"/>
      <c r="AU570" s="548"/>
      <c r="AV570" s="548"/>
      <c r="AW570" s="548"/>
      <c r="AX570" s="548"/>
      <c r="AY570" s="548"/>
    </row>
    <row r="571" spans="1:51" s="433" customFormat="1">
      <c r="A571" s="503">
        <v>45897</v>
      </c>
      <c r="B571" s="182" t="s">
        <v>2807</v>
      </c>
      <c r="C571" s="517" t="s">
        <v>196</v>
      </c>
      <c r="D571" s="517" t="s">
        <v>117</v>
      </c>
      <c r="E571" s="496">
        <v>500</v>
      </c>
      <c r="F571" s="325">
        <f t="shared" si="12"/>
        <v>0.89135775178182408</v>
      </c>
      <c r="G571" s="326">
        <v>560.94200000000001</v>
      </c>
      <c r="H571" s="517" t="s">
        <v>437</v>
      </c>
      <c r="I571" s="182" t="s">
        <v>2817</v>
      </c>
      <c r="J571" s="182" t="s">
        <v>98</v>
      </c>
      <c r="K571" s="438" t="s">
        <v>1902</v>
      </c>
      <c r="L571" s="182" t="s">
        <v>155</v>
      </c>
      <c r="M571" s="548"/>
      <c r="N571" s="548"/>
      <c r="O571" s="548"/>
      <c r="P571" s="548"/>
      <c r="Q571" s="548"/>
      <c r="R571" s="548"/>
      <c r="S571" s="548"/>
      <c r="T571" s="548"/>
      <c r="U571" s="548"/>
      <c r="V571" s="548"/>
      <c r="W571" s="548"/>
      <c r="X571" s="548"/>
      <c r="Y571" s="548"/>
      <c r="Z571" s="548"/>
      <c r="AA571" s="548"/>
      <c r="AB571" s="548"/>
      <c r="AC571" s="548"/>
      <c r="AD571" s="548"/>
      <c r="AE571" s="548"/>
      <c r="AF571" s="548"/>
      <c r="AG571" s="548"/>
      <c r="AH571" s="548"/>
      <c r="AI571" s="548"/>
      <c r="AJ571" s="548"/>
      <c r="AK571" s="548"/>
      <c r="AL571" s="548"/>
      <c r="AM571" s="548"/>
      <c r="AN571" s="548"/>
      <c r="AO571" s="548"/>
      <c r="AP571" s="548"/>
      <c r="AQ571" s="548"/>
      <c r="AR571" s="548"/>
      <c r="AS571" s="548"/>
      <c r="AT571" s="548"/>
      <c r="AU571" s="548"/>
      <c r="AV571" s="548"/>
      <c r="AW571" s="548"/>
      <c r="AX571" s="548"/>
      <c r="AY571" s="548"/>
    </row>
    <row r="572" spans="1:51" s="433" customFormat="1">
      <c r="A572" s="503">
        <v>45897</v>
      </c>
      <c r="B572" s="182" t="s">
        <v>2797</v>
      </c>
      <c r="C572" s="182" t="s">
        <v>313</v>
      </c>
      <c r="D572" s="517" t="s">
        <v>117</v>
      </c>
      <c r="E572" s="496">
        <v>1500</v>
      </c>
      <c r="F572" s="325">
        <f t="shared" si="12"/>
        <v>2.6740732553454722</v>
      </c>
      <c r="G572" s="326">
        <v>560.94200000000001</v>
      </c>
      <c r="H572" s="517" t="s">
        <v>437</v>
      </c>
      <c r="I572" s="182" t="s">
        <v>2828</v>
      </c>
      <c r="J572" s="182" t="s">
        <v>98</v>
      </c>
      <c r="K572" s="438" t="s">
        <v>1902</v>
      </c>
      <c r="L572" s="182" t="s">
        <v>155</v>
      </c>
      <c r="M572" s="548"/>
      <c r="N572" s="548"/>
      <c r="O572" s="548"/>
      <c r="P572" s="548"/>
      <c r="Q572" s="548"/>
      <c r="R572" s="548"/>
      <c r="S572" s="548"/>
      <c r="T572" s="548"/>
      <c r="U572" s="548"/>
      <c r="V572" s="548"/>
      <c r="W572" s="548"/>
      <c r="X572" s="548"/>
      <c r="Y572" s="548"/>
      <c r="Z572" s="548"/>
      <c r="AA572" s="548"/>
      <c r="AB572" s="548"/>
      <c r="AC572" s="548"/>
      <c r="AD572" s="548"/>
      <c r="AE572" s="548"/>
      <c r="AF572" s="548"/>
      <c r="AG572" s="548"/>
      <c r="AH572" s="548"/>
      <c r="AI572" s="548"/>
      <c r="AJ572" s="548"/>
      <c r="AK572" s="548"/>
      <c r="AL572" s="548"/>
      <c r="AM572" s="548"/>
      <c r="AN572" s="548"/>
      <c r="AO572" s="548"/>
      <c r="AP572" s="548"/>
      <c r="AQ572" s="548"/>
      <c r="AR572" s="548"/>
      <c r="AS572" s="548"/>
      <c r="AT572" s="548"/>
      <c r="AU572" s="548"/>
      <c r="AV572" s="548"/>
      <c r="AW572" s="548"/>
      <c r="AX572" s="548"/>
      <c r="AY572" s="548"/>
    </row>
    <row r="573" spans="1:51" s="433" customFormat="1">
      <c r="A573" s="503">
        <v>45897</v>
      </c>
      <c r="B573" s="182" t="s">
        <v>2795</v>
      </c>
      <c r="C573" s="517" t="s">
        <v>196</v>
      </c>
      <c r="D573" s="517" t="s">
        <v>117</v>
      </c>
      <c r="E573" s="496">
        <v>500</v>
      </c>
      <c r="F573" s="325">
        <f t="shared" si="12"/>
        <v>0.89135775178182408</v>
      </c>
      <c r="G573" s="326">
        <v>560.94200000000001</v>
      </c>
      <c r="H573" s="517" t="s">
        <v>437</v>
      </c>
      <c r="I573" s="182" t="s">
        <v>2817</v>
      </c>
      <c r="J573" s="182" t="s">
        <v>98</v>
      </c>
      <c r="K573" s="438" t="s">
        <v>1902</v>
      </c>
      <c r="L573" s="182" t="s">
        <v>155</v>
      </c>
      <c r="M573" s="548"/>
      <c r="N573" s="548"/>
      <c r="O573" s="548"/>
      <c r="P573" s="548"/>
      <c r="Q573" s="548"/>
      <c r="R573" s="548"/>
      <c r="S573" s="548"/>
      <c r="T573" s="548"/>
      <c r="U573" s="548"/>
      <c r="V573" s="548"/>
      <c r="W573" s="548"/>
      <c r="X573" s="548"/>
      <c r="Y573" s="548"/>
      <c r="Z573" s="548"/>
      <c r="AA573" s="548"/>
      <c r="AB573" s="548"/>
      <c r="AC573" s="548"/>
      <c r="AD573" s="548"/>
      <c r="AE573" s="548"/>
      <c r="AF573" s="548"/>
      <c r="AG573" s="548"/>
      <c r="AH573" s="548"/>
      <c r="AI573" s="548"/>
      <c r="AJ573" s="548"/>
      <c r="AK573" s="548"/>
      <c r="AL573" s="548"/>
      <c r="AM573" s="548"/>
      <c r="AN573" s="548"/>
      <c r="AO573" s="548"/>
      <c r="AP573" s="548"/>
      <c r="AQ573" s="548"/>
      <c r="AR573" s="548"/>
      <c r="AS573" s="548"/>
      <c r="AT573" s="548"/>
      <c r="AU573" s="548"/>
      <c r="AV573" s="548"/>
      <c r="AW573" s="548"/>
      <c r="AX573" s="548"/>
      <c r="AY573" s="548"/>
    </row>
    <row r="574" spans="1:51" s="433" customFormat="1">
      <c r="A574" s="503">
        <v>45897</v>
      </c>
      <c r="B574" s="182" t="s">
        <v>2802</v>
      </c>
      <c r="C574" s="517" t="s">
        <v>196</v>
      </c>
      <c r="D574" s="517" t="s">
        <v>117</v>
      </c>
      <c r="E574" s="496">
        <v>500</v>
      </c>
      <c r="F574" s="325">
        <f t="shared" si="12"/>
        <v>0.89135775178182408</v>
      </c>
      <c r="G574" s="326">
        <v>560.94200000000001</v>
      </c>
      <c r="H574" s="517" t="s">
        <v>437</v>
      </c>
      <c r="I574" s="182" t="s">
        <v>2817</v>
      </c>
      <c r="J574" s="182" t="s">
        <v>98</v>
      </c>
      <c r="K574" s="438" t="s">
        <v>1902</v>
      </c>
      <c r="L574" s="182" t="s">
        <v>155</v>
      </c>
      <c r="M574" s="548"/>
      <c r="N574" s="548"/>
      <c r="O574" s="548"/>
      <c r="P574" s="548"/>
      <c r="Q574" s="548"/>
      <c r="R574" s="548"/>
      <c r="S574" s="548"/>
      <c r="T574" s="548"/>
      <c r="U574" s="548"/>
      <c r="V574" s="548"/>
      <c r="W574" s="548"/>
      <c r="X574" s="548"/>
      <c r="Y574" s="548"/>
      <c r="Z574" s="548"/>
      <c r="AA574" s="548"/>
      <c r="AB574" s="548"/>
      <c r="AC574" s="548"/>
      <c r="AD574" s="548"/>
      <c r="AE574" s="548"/>
      <c r="AF574" s="548"/>
      <c r="AG574" s="548"/>
      <c r="AH574" s="548"/>
      <c r="AI574" s="548"/>
      <c r="AJ574" s="548"/>
      <c r="AK574" s="548"/>
      <c r="AL574" s="548"/>
      <c r="AM574" s="548"/>
      <c r="AN574" s="548"/>
      <c r="AO574" s="548"/>
      <c r="AP574" s="548"/>
      <c r="AQ574" s="548"/>
      <c r="AR574" s="548"/>
      <c r="AS574" s="548"/>
      <c r="AT574" s="548"/>
      <c r="AU574" s="548"/>
      <c r="AV574" s="548"/>
      <c r="AW574" s="548"/>
      <c r="AX574" s="548"/>
      <c r="AY574" s="548"/>
    </row>
    <row r="575" spans="1:51" s="433" customFormat="1">
      <c r="A575" s="503">
        <v>45897</v>
      </c>
      <c r="B575" s="182" t="s">
        <v>2803</v>
      </c>
      <c r="C575" s="517" t="s">
        <v>196</v>
      </c>
      <c r="D575" s="517" t="s">
        <v>117</v>
      </c>
      <c r="E575" s="496">
        <v>500</v>
      </c>
      <c r="F575" s="325">
        <f t="shared" si="12"/>
        <v>0.89135775178182408</v>
      </c>
      <c r="G575" s="326">
        <v>560.94200000000001</v>
      </c>
      <c r="H575" s="517" t="s">
        <v>437</v>
      </c>
      <c r="I575" s="182" t="s">
        <v>2817</v>
      </c>
      <c r="J575" s="182" t="s">
        <v>98</v>
      </c>
      <c r="K575" s="438" t="s">
        <v>1902</v>
      </c>
      <c r="L575" s="182" t="s">
        <v>155</v>
      </c>
      <c r="M575" s="548"/>
      <c r="N575" s="548"/>
      <c r="O575" s="548"/>
      <c r="P575" s="548"/>
      <c r="Q575" s="548"/>
      <c r="R575" s="548"/>
      <c r="S575" s="548"/>
      <c r="T575" s="548"/>
      <c r="U575" s="548"/>
      <c r="V575" s="548"/>
      <c r="W575" s="548"/>
      <c r="X575" s="548"/>
      <c r="Y575" s="548"/>
      <c r="Z575" s="548"/>
      <c r="AA575" s="548"/>
      <c r="AB575" s="548"/>
      <c r="AC575" s="548"/>
      <c r="AD575" s="548"/>
      <c r="AE575" s="548"/>
      <c r="AF575" s="548"/>
      <c r="AG575" s="548"/>
      <c r="AH575" s="548"/>
      <c r="AI575" s="548"/>
      <c r="AJ575" s="548"/>
      <c r="AK575" s="548"/>
      <c r="AL575" s="548"/>
      <c r="AM575" s="548"/>
      <c r="AN575" s="548"/>
      <c r="AO575" s="548"/>
      <c r="AP575" s="548"/>
      <c r="AQ575" s="548"/>
      <c r="AR575" s="548"/>
      <c r="AS575" s="548"/>
      <c r="AT575" s="548"/>
      <c r="AU575" s="548"/>
      <c r="AV575" s="548"/>
      <c r="AW575" s="548"/>
      <c r="AX575" s="548"/>
      <c r="AY575" s="548"/>
    </row>
    <row r="576" spans="1:51" s="433" customFormat="1">
      <c r="A576" s="503">
        <v>45897</v>
      </c>
      <c r="B576" s="182" t="s">
        <v>2808</v>
      </c>
      <c r="C576" s="517" t="s">
        <v>196</v>
      </c>
      <c r="D576" s="517" t="s">
        <v>117</v>
      </c>
      <c r="E576" s="496">
        <v>500</v>
      </c>
      <c r="F576" s="325">
        <f t="shared" si="12"/>
        <v>0.89135775178182408</v>
      </c>
      <c r="G576" s="326">
        <v>560.94200000000001</v>
      </c>
      <c r="H576" s="517" t="s">
        <v>437</v>
      </c>
      <c r="I576" s="182" t="s">
        <v>2817</v>
      </c>
      <c r="J576" s="182" t="s">
        <v>98</v>
      </c>
      <c r="K576" s="438" t="s">
        <v>1902</v>
      </c>
      <c r="L576" s="182" t="s">
        <v>155</v>
      </c>
      <c r="M576" s="548"/>
      <c r="N576" s="548"/>
      <c r="O576" s="548"/>
      <c r="P576" s="548"/>
      <c r="Q576" s="548"/>
      <c r="R576" s="548"/>
      <c r="S576" s="548"/>
      <c r="T576" s="548"/>
      <c r="U576" s="548"/>
      <c r="V576" s="548"/>
      <c r="W576" s="548"/>
      <c r="X576" s="548"/>
      <c r="Y576" s="548"/>
      <c r="Z576" s="548"/>
      <c r="AA576" s="548"/>
      <c r="AB576" s="548"/>
      <c r="AC576" s="548"/>
      <c r="AD576" s="548"/>
      <c r="AE576" s="548"/>
      <c r="AF576" s="548"/>
      <c r="AG576" s="548"/>
      <c r="AH576" s="548"/>
      <c r="AI576" s="548"/>
      <c r="AJ576" s="548"/>
      <c r="AK576" s="548"/>
      <c r="AL576" s="548"/>
      <c r="AM576" s="548"/>
      <c r="AN576" s="548"/>
      <c r="AO576" s="548"/>
      <c r="AP576" s="548"/>
      <c r="AQ576" s="548"/>
      <c r="AR576" s="548"/>
      <c r="AS576" s="548"/>
      <c r="AT576" s="548"/>
      <c r="AU576" s="548"/>
      <c r="AV576" s="548"/>
      <c r="AW576" s="548"/>
      <c r="AX576" s="548"/>
      <c r="AY576" s="548"/>
    </row>
    <row r="577" spans="1:51" s="433" customFormat="1">
      <c r="A577" s="503">
        <v>45897</v>
      </c>
      <c r="B577" s="182" t="s">
        <v>2809</v>
      </c>
      <c r="C577" s="517" t="s">
        <v>196</v>
      </c>
      <c r="D577" s="517" t="s">
        <v>117</v>
      </c>
      <c r="E577" s="496">
        <v>500</v>
      </c>
      <c r="F577" s="325">
        <f t="shared" si="12"/>
        <v>0.89135775178182408</v>
      </c>
      <c r="G577" s="326">
        <v>560.94200000000001</v>
      </c>
      <c r="H577" s="517" t="s">
        <v>437</v>
      </c>
      <c r="I577" s="182" t="s">
        <v>2817</v>
      </c>
      <c r="J577" s="182" t="s">
        <v>98</v>
      </c>
      <c r="K577" s="438" t="s">
        <v>1902</v>
      </c>
      <c r="L577" s="182" t="s">
        <v>155</v>
      </c>
      <c r="M577" s="548"/>
      <c r="N577" s="548"/>
      <c r="O577" s="548"/>
      <c r="P577" s="548"/>
      <c r="Q577" s="548"/>
      <c r="R577" s="548"/>
      <c r="S577" s="548"/>
      <c r="T577" s="548"/>
      <c r="U577" s="548"/>
      <c r="V577" s="548"/>
      <c r="W577" s="548"/>
      <c r="X577" s="548"/>
      <c r="Y577" s="548"/>
      <c r="Z577" s="548"/>
      <c r="AA577" s="548"/>
      <c r="AB577" s="548"/>
      <c r="AC577" s="548"/>
      <c r="AD577" s="548"/>
      <c r="AE577" s="548"/>
      <c r="AF577" s="548"/>
      <c r="AG577" s="548"/>
      <c r="AH577" s="548"/>
      <c r="AI577" s="548"/>
      <c r="AJ577" s="548"/>
      <c r="AK577" s="548"/>
      <c r="AL577" s="548"/>
      <c r="AM577" s="548"/>
      <c r="AN577" s="548"/>
      <c r="AO577" s="548"/>
      <c r="AP577" s="548"/>
      <c r="AQ577" s="548"/>
      <c r="AR577" s="548"/>
      <c r="AS577" s="548"/>
      <c r="AT577" s="548"/>
      <c r="AU577" s="548"/>
      <c r="AV577" s="548"/>
      <c r="AW577" s="548"/>
      <c r="AX577" s="548"/>
      <c r="AY577" s="548"/>
    </row>
    <row r="578" spans="1:51" s="433" customFormat="1">
      <c r="A578" s="503">
        <v>45897</v>
      </c>
      <c r="B578" s="182" t="s">
        <v>2794</v>
      </c>
      <c r="C578" s="182" t="s">
        <v>313</v>
      </c>
      <c r="D578" s="517" t="s">
        <v>117</v>
      </c>
      <c r="E578" s="496">
        <v>1500</v>
      </c>
      <c r="F578" s="325">
        <f t="shared" si="12"/>
        <v>2.6740732553454722</v>
      </c>
      <c r="G578" s="326">
        <v>560.94200000000001</v>
      </c>
      <c r="H578" s="517" t="s">
        <v>437</v>
      </c>
      <c r="I578" s="182" t="s">
        <v>2828</v>
      </c>
      <c r="J578" s="182" t="s">
        <v>98</v>
      </c>
      <c r="K578" s="438" t="s">
        <v>1902</v>
      </c>
      <c r="L578" s="182" t="s">
        <v>155</v>
      </c>
      <c r="M578" s="548"/>
      <c r="N578" s="548"/>
      <c r="O578" s="548"/>
      <c r="P578" s="548"/>
      <c r="Q578" s="548"/>
      <c r="R578" s="548"/>
      <c r="S578" s="548"/>
      <c r="T578" s="548"/>
      <c r="U578" s="548"/>
      <c r="V578" s="548"/>
      <c r="W578" s="548"/>
      <c r="X578" s="548"/>
      <c r="Y578" s="548"/>
      <c r="Z578" s="548"/>
      <c r="AA578" s="548"/>
      <c r="AB578" s="548"/>
      <c r="AC578" s="548"/>
      <c r="AD578" s="548"/>
      <c r="AE578" s="548"/>
      <c r="AF578" s="548"/>
      <c r="AG578" s="548"/>
      <c r="AH578" s="548"/>
      <c r="AI578" s="548"/>
      <c r="AJ578" s="548"/>
      <c r="AK578" s="548"/>
      <c r="AL578" s="548"/>
      <c r="AM578" s="548"/>
      <c r="AN578" s="548"/>
      <c r="AO578" s="548"/>
      <c r="AP578" s="548"/>
      <c r="AQ578" s="548"/>
      <c r="AR578" s="548"/>
      <c r="AS578" s="548"/>
      <c r="AT578" s="548"/>
      <c r="AU578" s="548"/>
      <c r="AV578" s="548"/>
      <c r="AW578" s="548"/>
      <c r="AX578" s="548"/>
      <c r="AY578" s="548"/>
    </row>
    <row r="579" spans="1:51" s="433" customFormat="1">
      <c r="A579" s="503">
        <v>45897</v>
      </c>
      <c r="B579" s="182" t="s">
        <v>2795</v>
      </c>
      <c r="C579" s="517" t="s">
        <v>196</v>
      </c>
      <c r="D579" s="517" t="s">
        <v>117</v>
      </c>
      <c r="E579" s="496">
        <v>500</v>
      </c>
      <c r="F579" s="325">
        <f t="shared" si="12"/>
        <v>0.89135775178182408</v>
      </c>
      <c r="G579" s="326">
        <v>560.94200000000001</v>
      </c>
      <c r="H579" s="517" t="s">
        <v>437</v>
      </c>
      <c r="I579" s="182" t="s">
        <v>2817</v>
      </c>
      <c r="J579" s="182" t="s">
        <v>98</v>
      </c>
      <c r="K579" s="438" t="s">
        <v>1902</v>
      </c>
      <c r="L579" s="182" t="s">
        <v>155</v>
      </c>
      <c r="M579" s="548"/>
      <c r="N579" s="548"/>
      <c r="O579" s="548"/>
      <c r="P579" s="548"/>
      <c r="Q579" s="548"/>
      <c r="R579" s="548"/>
      <c r="S579" s="548"/>
      <c r="T579" s="548"/>
      <c r="U579" s="548"/>
      <c r="V579" s="548"/>
      <c r="W579" s="548"/>
      <c r="X579" s="548"/>
      <c r="Y579" s="548"/>
      <c r="Z579" s="548"/>
      <c r="AA579" s="548"/>
      <c r="AB579" s="548"/>
      <c r="AC579" s="548"/>
      <c r="AD579" s="548"/>
      <c r="AE579" s="548"/>
      <c r="AF579" s="548"/>
      <c r="AG579" s="548"/>
      <c r="AH579" s="548"/>
      <c r="AI579" s="548"/>
      <c r="AJ579" s="548"/>
      <c r="AK579" s="548"/>
      <c r="AL579" s="548"/>
      <c r="AM579" s="548"/>
      <c r="AN579" s="548"/>
      <c r="AO579" s="548"/>
      <c r="AP579" s="548"/>
      <c r="AQ579" s="548"/>
      <c r="AR579" s="548"/>
      <c r="AS579" s="548"/>
      <c r="AT579" s="548"/>
      <c r="AU579" s="548"/>
      <c r="AV579" s="548"/>
      <c r="AW579" s="548"/>
      <c r="AX579" s="548"/>
      <c r="AY579" s="548"/>
    </row>
    <row r="580" spans="1:51" s="433" customFormat="1">
      <c r="A580" s="505">
        <v>45897</v>
      </c>
      <c r="B580" s="182" t="s">
        <v>2850</v>
      </c>
      <c r="C580" s="182" t="s">
        <v>174</v>
      </c>
      <c r="D580" s="182" t="s">
        <v>120</v>
      </c>
      <c r="E580" s="496">
        <v>500</v>
      </c>
      <c r="F580" s="325">
        <f t="shared" si="12"/>
        <v>0.89135775178182408</v>
      </c>
      <c r="G580" s="326">
        <v>560.94200000000001</v>
      </c>
      <c r="H580" s="182" t="s">
        <v>213</v>
      </c>
      <c r="I580" s="182" t="s">
        <v>2853</v>
      </c>
      <c r="J580" s="182" t="s">
        <v>98</v>
      </c>
      <c r="K580" s="438" t="s">
        <v>1902</v>
      </c>
      <c r="L580" s="182" t="s">
        <v>155</v>
      </c>
      <c r="M580" s="548"/>
      <c r="N580" s="548"/>
      <c r="O580" s="548"/>
      <c r="P580" s="548"/>
      <c r="Q580" s="548"/>
      <c r="R580" s="548"/>
      <c r="S580" s="548"/>
      <c r="T580" s="548"/>
      <c r="U580" s="548"/>
      <c r="V580" s="548"/>
      <c r="W580" s="548"/>
      <c r="X580" s="548"/>
      <c r="Y580" s="548"/>
      <c r="Z580" s="548"/>
      <c r="AA580" s="548"/>
      <c r="AB580" s="548"/>
      <c r="AC580" s="548"/>
      <c r="AD580" s="548"/>
      <c r="AE580" s="548"/>
      <c r="AF580" s="548"/>
      <c r="AG580" s="548"/>
      <c r="AH580" s="548"/>
      <c r="AI580" s="548"/>
      <c r="AJ580" s="548"/>
      <c r="AK580" s="548"/>
      <c r="AL580" s="548"/>
      <c r="AM580" s="548"/>
      <c r="AN580" s="548"/>
      <c r="AO580" s="548"/>
      <c r="AP580" s="548"/>
      <c r="AQ580" s="548"/>
      <c r="AR580" s="548"/>
      <c r="AS580" s="548"/>
      <c r="AT580" s="548"/>
      <c r="AU580" s="548"/>
      <c r="AV580" s="548"/>
      <c r="AW580" s="548"/>
      <c r="AX580" s="548"/>
      <c r="AY580" s="548"/>
    </row>
    <row r="581" spans="1:51" s="433" customFormat="1">
      <c r="A581" s="505">
        <v>45897</v>
      </c>
      <c r="B581" s="182" t="s">
        <v>2840</v>
      </c>
      <c r="C581" s="182" t="s">
        <v>174</v>
      </c>
      <c r="D581" s="182" t="s">
        <v>120</v>
      </c>
      <c r="E581" s="496">
        <v>500</v>
      </c>
      <c r="F581" s="325">
        <f t="shared" si="12"/>
        <v>0.89135775178182408</v>
      </c>
      <c r="G581" s="326">
        <v>560.94200000000001</v>
      </c>
      <c r="H581" s="182" t="s">
        <v>213</v>
      </c>
      <c r="I581" s="182" t="s">
        <v>2853</v>
      </c>
      <c r="J581" s="182" t="s">
        <v>98</v>
      </c>
      <c r="K581" s="438" t="s">
        <v>1902</v>
      </c>
      <c r="L581" s="182" t="s">
        <v>155</v>
      </c>
      <c r="M581" s="548"/>
      <c r="N581" s="548"/>
      <c r="O581" s="548"/>
      <c r="P581" s="548"/>
      <c r="Q581" s="548"/>
      <c r="R581" s="548"/>
      <c r="S581" s="548"/>
      <c r="T581" s="548"/>
      <c r="U581" s="548"/>
      <c r="V581" s="548"/>
      <c r="W581" s="548"/>
      <c r="X581" s="548"/>
      <c r="Y581" s="548"/>
      <c r="Z581" s="548"/>
      <c r="AA581" s="548"/>
      <c r="AB581" s="548"/>
      <c r="AC581" s="548"/>
      <c r="AD581" s="548"/>
      <c r="AE581" s="548"/>
      <c r="AF581" s="548"/>
      <c r="AG581" s="548"/>
      <c r="AH581" s="548"/>
      <c r="AI581" s="548"/>
      <c r="AJ581" s="548"/>
      <c r="AK581" s="548"/>
      <c r="AL581" s="548"/>
      <c r="AM581" s="548"/>
      <c r="AN581" s="548"/>
      <c r="AO581" s="548"/>
      <c r="AP581" s="548"/>
      <c r="AQ581" s="548"/>
      <c r="AR581" s="548"/>
      <c r="AS581" s="548"/>
      <c r="AT581" s="548"/>
      <c r="AU581" s="548"/>
      <c r="AV581" s="548"/>
      <c r="AW581" s="548"/>
      <c r="AX581" s="548"/>
      <c r="AY581" s="548"/>
    </row>
    <row r="582" spans="1:51" s="546" customFormat="1">
      <c r="A582" s="535">
        <v>45898</v>
      </c>
      <c r="B582" s="517" t="s">
        <v>2103</v>
      </c>
      <c r="C582" s="308" t="s">
        <v>174</v>
      </c>
      <c r="D582" s="308" t="s">
        <v>119</v>
      </c>
      <c r="E582" s="517">
        <v>1000</v>
      </c>
      <c r="F582" s="325">
        <f t="shared" si="12"/>
        <v>1.7827155035636482</v>
      </c>
      <c r="G582" s="326">
        <v>560.94200000000001</v>
      </c>
      <c r="H582" s="524" t="s">
        <v>153</v>
      </c>
      <c r="I582" s="525" t="s">
        <v>2494</v>
      </c>
      <c r="J582" s="182" t="s">
        <v>98</v>
      </c>
      <c r="K582" s="438" t="s">
        <v>1902</v>
      </c>
      <c r="L582" s="182" t="s">
        <v>155</v>
      </c>
      <c r="M582" s="550"/>
      <c r="N582" s="550"/>
      <c r="O582" s="550"/>
      <c r="P582" s="548"/>
      <c r="Q582" s="548"/>
      <c r="R582" s="548"/>
      <c r="S582" s="548"/>
      <c r="T582" s="548"/>
      <c r="U582" s="548"/>
      <c r="V582" s="548"/>
      <c r="W582" s="548"/>
      <c r="X582" s="548"/>
      <c r="Y582" s="548"/>
      <c r="Z582" s="548"/>
      <c r="AA582" s="548"/>
      <c r="AB582" s="548"/>
      <c r="AC582" s="548"/>
      <c r="AD582" s="548"/>
      <c r="AE582" s="548"/>
      <c r="AF582" s="548"/>
      <c r="AG582" s="548"/>
      <c r="AH582" s="548"/>
      <c r="AI582" s="548"/>
      <c r="AJ582" s="548"/>
      <c r="AK582" s="548"/>
      <c r="AL582" s="548"/>
      <c r="AM582" s="548"/>
      <c r="AN582" s="548"/>
      <c r="AO582" s="548"/>
      <c r="AP582" s="548"/>
      <c r="AQ582" s="548"/>
      <c r="AR582" s="548"/>
      <c r="AS582" s="548"/>
      <c r="AT582" s="548"/>
      <c r="AU582" s="548"/>
      <c r="AV582" s="548"/>
      <c r="AW582" s="548"/>
      <c r="AX582" s="548"/>
      <c r="AY582" s="548"/>
    </row>
    <row r="583" spans="1:51" s="433" customFormat="1">
      <c r="A583" s="535">
        <v>45898</v>
      </c>
      <c r="B583" s="517" t="s">
        <v>2109</v>
      </c>
      <c r="C583" s="308" t="s">
        <v>174</v>
      </c>
      <c r="D583" s="308" t="s">
        <v>119</v>
      </c>
      <c r="E583" s="517">
        <v>1000</v>
      </c>
      <c r="F583" s="325">
        <f t="shared" si="12"/>
        <v>1.7827155035636482</v>
      </c>
      <c r="G583" s="326">
        <v>560.94200000000001</v>
      </c>
      <c r="H583" s="524" t="s">
        <v>153</v>
      </c>
      <c r="I583" s="525" t="s">
        <v>2494</v>
      </c>
      <c r="J583" s="182" t="s">
        <v>98</v>
      </c>
      <c r="K583" s="438" t="s">
        <v>1902</v>
      </c>
      <c r="L583" s="182" t="s">
        <v>155</v>
      </c>
      <c r="M583" s="550"/>
      <c r="N583" s="550"/>
      <c r="O583" s="550"/>
      <c r="P583" s="548"/>
      <c r="Q583" s="548"/>
      <c r="R583" s="548"/>
      <c r="S583" s="548"/>
      <c r="T583" s="548"/>
      <c r="U583" s="548"/>
      <c r="V583" s="548"/>
      <c r="W583" s="548"/>
      <c r="X583" s="548"/>
      <c r="Y583" s="548"/>
      <c r="Z583" s="548"/>
      <c r="AA583" s="548"/>
      <c r="AB583" s="548"/>
      <c r="AC583" s="548"/>
      <c r="AD583" s="548"/>
      <c r="AE583" s="548"/>
      <c r="AF583" s="548"/>
      <c r="AG583" s="548"/>
      <c r="AH583" s="548"/>
      <c r="AI583" s="548"/>
      <c r="AJ583" s="548"/>
      <c r="AK583" s="548"/>
      <c r="AL583" s="548"/>
      <c r="AM583" s="548"/>
      <c r="AN583" s="548"/>
      <c r="AO583" s="548"/>
      <c r="AP583" s="548"/>
      <c r="AQ583" s="548"/>
      <c r="AR583" s="548"/>
      <c r="AS583" s="548"/>
      <c r="AT583" s="548"/>
      <c r="AU583" s="548"/>
      <c r="AV583" s="548"/>
      <c r="AW583" s="548"/>
      <c r="AX583" s="548"/>
      <c r="AY583" s="548"/>
    </row>
    <row r="584" spans="1:51" s="433" customFormat="1">
      <c r="A584" s="535">
        <v>45898</v>
      </c>
      <c r="B584" s="517" t="s">
        <v>2100</v>
      </c>
      <c r="C584" s="308" t="s">
        <v>174</v>
      </c>
      <c r="D584" s="308" t="s">
        <v>119</v>
      </c>
      <c r="E584" s="517">
        <v>1000</v>
      </c>
      <c r="F584" s="325">
        <f t="shared" si="12"/>
        <v>1.7827155035636482</v>
      </c>
      <c r="G584" s="326">
        <v>560.94200000000001</v>
      </c>
      <c r="H584" s="524" t="s">
        <v>153</v>
      </c>
      <c r="I584" s="525" t="s">
        <v>2494</v>
      </c>
      <c r="J584" s="182" t="s">
        <v>98</v>
      </c>
      <c r="K584" s="438" t="s">
        <v>1902</v>
      </c>
      <c r="L584" s="182" t="s">
        <v>155</v>
      </c>
      <c r="M584" s="550"/>
      <c r="N584" s="550"/>
      <c r="O584" s="550"/>
      <c r="P584" s="548"/>
      <c r="Q584" s="548"/>
      <c r="R584" s="548"/>
      <c r="S584" s="548"/>
      <c r="T584" s="548"/>
      <c r="U584" s="548"/>
      <c r="V584" s="548"/>
      <c r="W584" s="548"/>
      <c r="X584" s="548"/>
      <c r="Y584" s="548"/>
      <c r="Z584" s="548"/>
      <c r="AA584" s="548"/>
      <c r="AB584" s="548"/>
      <c r="AC584" s="548"/>
      <c r="AD584" s="548"/>
      <c r="AE584" s="548"/>
      <c r="AF584" s="548"/>
      <c r="AG584" s="548"/>
      <c r="AH584" s="548"/>
      <c r="AI584" s="548"/>
      <c r="AJ584" s="548"/>
      <c r="AK584" s="548"/>
      <c r="AL584" s="548"/>
      <c r="AM584" s="548"/>
      <c r="AN584" s="548"/>
      <c r="AO584" s="548"/>
      <c r="AP584" s="548"/>
      <c r="AQ584" s="548"/>
      <c r="AR584" s="548"/>
      <c r="AS584" s="548"/>
      <c r="AT584" s="548"/>
      <c r="AU584" s="548"/>
      <c r="AV584" s="548"/>
      <c r="AW584" s="548"/>
      <c r="AX584" s="548"/>
      <c r="AY584" s="548"/>
    </row>
    <row r="585" spans="1:51" s="433" customFormat="1">
      <c r="A585" s="536">
        <v>45898</v>
      </c>
      <c r="B585" s="516" t="s">
        <v>2485</v>
      </c>
      <c r="C585" s="516" t="s">
        <v>174</v>
      </c>
      <c r="D585" s="516" t="s">
        <v>117</v>
      </c>
      <c r="E585" s="526">
        <v>500</v>
      </c>
      <c r="F585" s="325">
        <f t="shared" si="12"/>
        <v>0.89135775178182408</v>
      </c>
      <c r="G585" s="326">
        <v>560.94200000000001</v>
      </c>
      <c r="H585" s="177" t="s">
        <v>200</v>
      </c>
      <c r="I585" s="516" t="s">
        <v>2489</v>
      </c>
      <c r="J585" s="182" t="s">
        <v>98</v>
      </c>
      <c r="K585" s="438" t="s">
        <v>1902</v>
      </c>
      <c r="L585" s="182" t="s">
        <v>155</v>
      </c>
      <c r="M585" s="550"/>
      <c r="N585" s="550"/>
      <c r="O585" s="550"/>
      <c r="P585" s="548"/>
      <c r="Q585" s="548"/>
      <c r="R585" s="548"/>
      <c r="S585" s="548"/>
      <c r="T585" s="548"/>
      <c r="U585" s="548"/>
      <c r="V585" s="548"/>
      <c r="W585" s="548"/>
      <c r="X585" s="548"/>
      <c r="Y585" s="548"/>
      <c r="Z585" s="548"/>
      <c r="AA585" s="548"/>
      <c r="AB585" s="548"/>
      <c r="AC585" s="548"/>
      <c r="AD585" s="548"/>
      <c r="AE585" s="548"/>
      <c r="AF585" s="548"/>
      <c r="AG585" s="548"/>
      <c r="AH585" s="548"/>
      <c r="AI585" s="548"/>
      <c r="AJ585" s="548"/>
      <c r="AK585" s="548"/>
      <c r="AL585" s="548"/>
      <c r="AM585" s="548"/>
      <c r="AN585" s="548"/>
      <c r="AO585" s="548"/>
      <c r="AP585" s="548"/>
      <c r="AQ585" s="548"/>
      <c r="AR585" s="548"/>
      <c r="AS585" s="548"/>
      <c r="AT585" s="548"/>
      <c r="AU585" s="548"/>
      <c r="AV585" s="548"/>
      <c r="AW585" s="548"/>
      <c r="AX585" s="548"/>
      <c r="AY585" s="548"/>
    </row>
    <row r="586" spans="1:51" s="433" customFormat="1">
      <c r="A586" s="536">
        <v>45898</v>
      </c>
      <c r="B586" s="516" t="s">
        <v>2486</v>
      </c>
      <c r="C586" s="516" t="s">
        <v>174</v>
      </c>
      <c r="D586" s="516" t="s">
        <v>117</v>
      </c>
      <c r="E586" s="526">
        <v>500</v>
      </c>
      <c r="F586" s="325">
        <f t="shared" si="12"/>
        <v>0.89135775178182408</v>
      </c>
      <c r="G586" s="326">
        <v>560.94200000000001</v>
      </c>
      <c r="H586" s="177" t="s">
        <v>200</v>
      </c>
      <c r="I586" s="516" t="s">
        <v>2489</v>
      </c>
      <c r="J586" s="182" t="s">
        <v>98</v>
      </c>
      <c r="K586" s="438" t="s">
        <v>1902</v>
      </c>
      <c r="L586" s="182" t="s">
        <v>155</v>
      </c>
      <c r="M586" s="550"/>
      <c r="N586" s="550"/>
      <c r="O586" s="550"/>
      <c r="P586" s="548"/>
      <c r="Q586" s="548"/>
      <c r="R586" s="548"/>
      <c r="S586" s="548"/>
      <c r="T586" s="548"/>
      <c r="U586" s="548"/>
      <c r="V586" s="548"/>
      <c r="W586" s="548"/>
      <c r="X586" s="548"/>
      <c r="Y586" s="548"/>
      <c r="Z586" s="548"/>
      <c r="AA586" s="548"/>
      <c r="AB586" s="548"/>
      <c r="AC586" s="548"/>
      <c r="AD586" s="548"/>
      <c r="AE586" s="548"/>
      <c r="AF586" s="548"/>
      <c r="AG586" s="548"/>
      <c r="AH586" s="548"/>
      <c r="AI586" s="548"/>
      <c r="AJ586" s="548"/>
      <c r="AK586" s="548"/>
      <c r="AL586" s="548"/>
      <c r="AM586" s="548"/>
      <c r="AN586" s="548"/>
      <c r="AO586" s="548"/>
      <c r="AP586" s="548"/>
      <c r="AQ586" s="548"/>
      <c r="AR586" s="548"/>
      <c r="AS586" s="548"/>
      <c r="AT586" s="548"/>
      <c r="AU586" s="548"/>
      <c r="AV586" s="548"/>
      <c r="AW586" s="548"/>
      <c r="AX586" s="548"/>
      <c r="AY586" s="548"/>
    </row>
    <row r="587" spans="1:51" s="433" customFormat="1">
      <c r="A587" s="504">
        <v>45898</v>
      </c>
      <c r="B587" s="182" t="s">
        <v>2534</v>
      </c>
      <c r="C587" s="182" t="s">
        <v>174</v>
      </c>
      <c r="D587" s="182" t="s">
        <v>118</v>
      </c>
      <c r="E587" s="435">
        <v>1000</v>
      </c>
      <c r="F587" s="325">
        <f t="shared" si="12"/>
        <v>1.7827155035636482</v>
      </c>
      <c r="G587" s="326">
        <v>560.94200000000001</v>
      </c>
      <c r="H587" s="182" t="s">
        <v>583</v>
      </c>
      <c r="I587" s="182" t="s">
        <v>2536</v>
      </c>
      <c r="J587" s="182" t="s">
        <v>98</v>
      </c>
      <c r="K587" s="438" t="s">
        <v>1902</v>
      </c>
      <c r="L587" s="182" t="s">
        <v>155</v>
      </c>
      <c r="M587" s="550"/>
      <c r="N587" s="550"/>
      <c r="O587" s="550"/>
      <c r="P587" s="548"/>
      <c r="Q587" s="548"/>
      <c r="R587" s="548"/>
      <c r="S587" s="548"/>
      <c r="T587" s="548"/>
      <c r="U587" s="548"/>
      <c r="V587" s="548"/>
      <c r="W587" s="548"/>
      <c r="X587" s="548"/>
      <c r="Y587" s="548"/>
      <c r="Z587" s="548"/>
      <c r="AA587" s="548"/>
      <c r="AB587" s="548"/>
      <c r="AC587" s="548"/>
      <c r="AD587" s="548"/>
      <c r="AE587" s="548"/>
      <c r="AF587" s="548"/>
      <c r="AG587" s="548"/>
      <c r="AH587" s="548"/>
      <c r="AI587" s="548"/>
      <c r="AJ587" s="548"/>
      <c r="AK587" s="548"/>
      <c r="AL587" s="548"/>
      <c r="AM587" s="548"/>
      <c r="AN587" s="548"/>
      <c r="AO587" s="548"/>
      <c r="AP587" s="548"/>
      <c r="AQ587" s="548"/>
      <c r="AR587" s="548"/>
      <c r="AS587" s="548"/>
      <c r="AT587" s="548"/>
      <c r="AU587" s="548"/>
      <c r="AV587" s="548"/>
      <c r="AW587" s="548"/>
      <c r="AX587" s="548"/>
      <c r="AY587" s="548"/>
    </row>
    <row r="588" spans="1:51" s="433" customFormat="1">
      <c r="A588" s="504">
        <v>45898</v>
      </c>
      <c r="B588" s="182" t="s">
        <v>2535</v>
      </c>
      <c r="C588" s="182" t="s">
        <v>174</v>
      </c>
      <c r="D588" s="182" t="s">
        <v>118</v>
      </c>
      <c r="E588" s="435">
        <v>1000</v>
      </c>
      <c r="F588" s="325">
        <f t="shared" si="12"/>
        <v>1.7827155035636482</v>
      </c>
      <c r="G588" s="326">
        <v>560.94200000000001</v>
      </c>
      <c r="H588" s="182" t="s">
        <v>583</v>
      </c>
      <c r="I588" s="182" t="s">
        <v>2536</v>
      </c>
      <c r="J588" s="182" t="s">
        <v>98</v>
      </c>
      <c r="K588" s="438" t="s">
        <v>1902</v>
      </c>
      <c r="L588" s="182" t="s">
        <v>155</v>
      </c>
      <c r="M588" s="550"/>
      <c r="N588" s="550"/>
      <c r="O588" s="550"/>
      <c r="P588" s="548"/>
      <c r="Q588" s="548"/>
      <c r="R588" s="548"/>
      <c r="S588" s="548"/>
      <c r="T588" s="548"/>
      <c r="U588" s="548"/>
      <c r="V588" s="548"/>
      <c r="W588" s="548"/>
      <c r="X588" s="548"/>
      <c r="Y588" s="548"/>
      <c r="Z588" s="548"/>
      <c r="AA588" s="548"/>
      <c r="AB588" s="548"/>
      <c r="AC588" s="548"/>
      <c r="AD588" s="548"/>
      <c r="AE588" s="548"/>
      <c r="AF588" s="548"/>
      <c r="AG588" s="548"/>
      <c r="AH588" s="548"/>
      <c r="AI588" s="548"/>
      <c r="AJ588" s="548"/>
      <c r="AK588" s="548"/>
      <c r="AL588" s="548"/>
      <c r="AM588" s="548"/>
      <c r="AN588" s="548"/>
      <c r="AO588" s="548"/>
      <c r="AP588" s="548"/>
      <c r="AQ588" s="548"/>
      <c r="AR588" s="548"/>
      <c r="AS588" s="548"/>
      <c r="AT588" s="548"/>
      <c r="AU588" s="548"/>
      <c r="AV588" s="548"/>
      <c r="AW588" s="548"/>
      <c r="AX588" s="548"/>
      <c r="AY588" s="548"/>
    </row>
    <row r="589" spans="1:51" s="433" customFormat="1">
      <c r="A589" s="506">
        <v>45898</v>
      </c>
      <c r="B589" s="182" t="s">
        <v>2435</v>
      </c>
      <c r="C589" s="182" t="s">
        <v>126</v>
      </c>
      <c r="D589" s="182" t="s">
        <v>118</v>
      </c>
      <c r="E589" s="435">
        <v>6000</v>
      </c>
      <c r="F589" s="325">
        <f t="shared" si="12"/>
        <v>10.696293021381889</v>
      </c>
      <c r="G589" s="326">
        <v>560.94200000000001</v>
      </c>
      <c r="H589" s="520" t="s">
        <v>583</v>
      </c>
      <c r="I589" s="182" t="s">
        <v>2436</v>
      </c>
      <c r="J589" s="182" t="s">
        <v>98</v>
      </c>
      <c r="K589" s="438" t="s">
        <v>1902</v>
      </c>
      <c r="L589" s="182" t="s">
        <v>155</v>
      </c>
      <c r="M589" s="550"/>
      <c r="N589" s="550"/>
      <c r="O589" s="550"/>
      <c r="P589" s="548"/>
      <c r="Q589" s="548"/>
      <c r="R589" s="548"/>
      <c r="S589" s="548"/>
      <c r="T589" s="548"/>
      <c r="U589" s="548"/>
      <c r="V589" s="548"/>
      <c r="W589" s="548"/>
      <c r="X589" s="548"/>
      <c r="Y589" s="548"/>
      <c r="Z589" s="548"/>
      <c r="AA589" s="548"/>
      <c r="AB589" s="548"/>
      <c r="AC589" s="548"/>
      <c r="AD589" s="548"/>
      <c r="AE589" s="548"/>
      <c r="AF589" s="548"/>
      <c r="AG589" s="548"/>
      <c r="AH589" s="548"/>
      <c r="AI589" s="548"/>
      <c r="AJ589" s="548"/>
      <c r="AK589" s="548"/>
      <c r="AL589" s="548"/>
      <c r="AM589" s="548"/>
      <c r="AN589" s="548"/>
      <c r="AO589" s="548"/>
      <c r="AP589" s="548"/>
      <c r="AQ589" s="548"/>
      <c r="AR589" s="548"/>
      <c r="AS589" s="548"/>
      <c r="AT589" s="548"/>
      <c r="AU589" s="548"/>
      <c r="AV589" s="548"/>
      <c r="AW589" s="548"/>
      <c r="AX589" s="548"/>
      <c r="AY589" s="548"/>
    </row>
    <row r="590" spans="1:51" s="433" customFormat="1">
      <c r="A590" s="506">
        <v>45898</v>
      </c>
      <c r="B590" s="182" t="s">
        <v>2437</v>
      </c>
      <c r="C590" s="182" t="s">
        <v>626</v>
      </c>
      <c r="D590" s="182" t="s">
        <v>118</v>
      </c>
      <c r="E590" s="435">
        <v>45050</v>
      </c>
      <c r="F590" s="325">
        <f t="shared" si="12"/>
        <v>80.311333435542352</v>
      </c>
      <c r="G590" s="326">
        <v>560.94200000000001</v>
      </c>
      <c r="H590" s="182" t="s">
        <v>583</v>
      </c>
      <c r="I590" s="182" t="s">
        <v>2438</v>
      </c>
      <c r="J590" s="182" t="s">
        <v>98</v>
      </c>
      <c r="K590" s="438" t="s">
        <v>1902</v>
      </c>
      <c r="L590" s="182" t="s">
        <v>155</v>
      </c>
      <c r="M590" s="550"/>
      <c r="N590" s="550"/>
      <c r="O590" s="550"/>
      <c r="P590" s="548"/>
      <c r="Q590" s="548"/>
      <c r="R590" s="548"/>
      <c r="S590" s="548"/>
      <c r="T590" s="548"/>
      <c r="U590" s="548"/>
      <c r="V590" s="548"/>
      <c r="W590" s="548"/>
      <c r="X590" s="548"/>
      <c r="Y590" s="548"/>
      <c r="Z590" s="548"/>
      <c r="AA590" s="548"/>
      <c r="AB590" s="548"/>
      <c r="AC590" s="548"/>
      <c r="AD590" s="548"/>
      <c r="AE590" s="548"/>
      <c r="AF590" s="548"/>
      <c r="AG590" s="548"/>
      <c r="AH590" s="548"/>
      <c r="AI590" s="548"/>
      <c r="AJ590" s="548"/>
      <c r="AK590" s="548"/>
      <c r="AL590" s="548"/>
      <c r="AM590" s="548"/>
      <c r="AN590" s="548"/>
      <c r="AO590" s="548"/>
      <c r="AP590" s="548"/>
      <c r="AQ590" s="548"/>
      <c r="AR590" s="548"/>
      <c r="AS590" s="548"/>
      <c r="AT590" s="548"/>
      <c r="AU590" s="548"/>
      <c r="AV590" s="548"/>
      <c r="AW590" s="548"/>
      <c r="AX590" s="548"/>
      <c r="AY590" s="548"/>
    </row>
    <row r="591" spans="1:51" s="433" customFormat="1">
      <c r="A591" s="467">
        <v>45898</v>
      </c>
      <c r="B591" s="177" t="s">
        <v>3042</v>
      </c>
      <c r="C591" s="177" t="s">
        <v>174</v>
      </c>
      <c r="D591" s="177" t="s">
        <v>121</v>
      </c>
      <c r="E591" s="177">
        <v>500</v>
      </c>
      <c r="F591" s="325">
        <f t="shared" si="12"/>
        <v>0.89135775178182408</v>
      </c>
      <c r="G591" s="326">
        <v>560.94200000000001</v>
      </c>
      <c r="H591" s="177" t="s">
        <v>184</v>
      </c>
      <c r="I591" s="177" t="s">
        <v>2558</v>
      </c>
      <c r="J591" s="182" t="s">
        <v>98</v>
      </c>
      <c r="K591" s="438" t="s">
        <v>1902</v>
      </c>
      <c r="L591" s="182" t="s">
        <v>155</v>
      </c>
      <c r="M591" s="548"/>
      <c r="N591" s="548"/>
      <c r="O591" s="548"/>
      <c r="P591" s="548"/>
      <c r="Q591" s="548"/>
      <c r="R591" s="548"/>
      <c r="S591" s="548"/>
      <c r="T591" s="548"/>
      <c r="U591" s="548"/>
      <c r="V591" s="548"/>
      <c r="W591" s="548"/>
      <c r="X591" s="548"/>
      <c r="Y591" s="548"/>
      <c r="Z591" s="548"/>
      <c r="AA591" s="548"/>
      <c r="AB591" s="548"/>
      <c r="AC591" s="548"/>
      <c r="AD591" s="548"/>
      <c r="AE591" s="548"/>
      <c r="AF591" s="548"/>
      <c r="AG591" s="548"/>
      <c r="AH591" s="548"/>
      <c r="AI591" s="548"/>
      <c r="AJ591" s="548"/>
      <c r="AK591" s="548"/>
      <c r="AL591" s="548"/>
      <c r="AM591" s="548"/>
      <c r="AN591" s="548"/>
      <c r="AO591" s="548"/>
      <c r="AP591" s="548"/>
      <c r="AQ591" s="548"/>
      <c r="AR591" s="548"/>
      <c r="AS591" s="548"/>
      <c r="AT591" s="548"/>
      <c r="AU591" s="548"/>
      <c r="AV591" s="548"/>
      <c r="AW591" s="548"/>
      <c r="AX591" s="548"/>
      <c r="AY591" s="548"/>
    </row>
    <row r="592" spans="1:51" s="433" customFormat="1">
      <c r="A592" s="467">
        <v>45898</v>
      </c>
      <c r="B592" s="177" t="s">
        <v>3042</v>
      </c>
      <c r="C592" s="177" t="s">
        <v>174</v>
      </c>
      <c r="D592" s="177" t="s">
        <v>121</v>
      </c>
      <c r="E592" s="177">
        <v>500</v>
      </c>
      <c r="F592" s="325">
        <f t="shared" ref="F592:F621" si="13">E592/G592</f>
        <v>0.89135775178182408</v>
      </c>
      <c r="G592" s="326">
        <v>560.94200000000001</v>
      </c>
      <c r="H592" s="177" t="s">
        <v>184</v>
      </c>
      <c r="I592" s="177" t="s">
        <v>2558</v>
      </c>
      <c r="J592" s="182" t="s">
        <v>98</v>
      </c>
      <c r="K592" s="438" t="s">
        <v>1902</v>
      </c>
      <c r="L592" s="182" t="s">
        <v>155</v>
      </c>
      <c r="M592" s="548"/>
      <c r="N592" s="548"/>
      <c r="O592" s="548"/>
      <c r="P592" s="548"/>
      <c r="Q592" s="548"/>
      <c r="R592" s="548"/>
      <c r="S592" s="548"/>
      <c r="T592" s="548"/>
      <c r="U592" s="548"/>
      <c r="V592" s="548"/>
      <c r="W592" s="548"/>
      <c r="X592" s="548"/>
      <c r="Y592" s="548"/>
      <c r="Z592" s="548"/>
      <c r="AA592" s="548"/>
      <c r="AB592" s="548"/>
      <c r="AC592" s="548"/>
      <c r="AD592" s="548"/>
      <c r="AE592" s="548"/>
      <c r="AF592" s="548"/>
      <c r="AG592" s="548"/>
      <c r="AH592" s="548"/>
      <c r="AI592" s="548"/>
      <c r="AJ592" s="548"/>
      <c r="AK592" s="548"/>
      <c r="AL592" s="548"/>
      <c r="AM592" s="548"/>
      <c r="AN592" s="548"/>
      <c r="AO592" s="548"/>
      <c r="AP592" s="548"/>
      <c r="AQ592" s="548"/>
      <c r="AR592" s="548"/>
      <c r="AS592" s="548"/>
      <c r="AT592" s="548"/>
      <c r="AU592" s="548"/>
      <c r="AV592" s="548"/>
      <c r="AW592" s="548"/>
      <c r="AX592" s="548"/>
      <c r="AY592" s="548"/>
    </row>
    <row r="593" spans="1:51" s="433" customFormat="1">
      <c r="A593" s="505">
        <v>45898</v>
      </c>
      <c r="B593" s="182" t="s">
        <v>2705</v>
      </c>
      <c r="C593" s="182" t="s">
        <v>174</v>
      </c>
      <c r="D593" s="182" t="s">
        <v>117</v>
      </c>
      <c r="E593" s="435">
        <v>500</v>
      </c>
      <c r="F593" s="325">
        <f t="shared" si="13"/>
        <v>0.89135775178182408</v>
      </c>
      <c r="G593" s="326">
        <v>560.94200000000001</v>
      </c>
      <c r="H593" s="182" t="s">
        <v>190</v>
      </c>
      <c r="I593" s="182" t="s">
        <v>2707</v>
      </c>
      <c r="J593" s="182" t="s">
        <v>98</v>
      </c>
      <c r="K593" s="438" t="s">
        <v>1902</v>
      </c>
      <c r="L593" s="182" t="s">
        <v>155</v>
      </c>
      <c r="M593" s="548"/>
      <c r="N593" s="548"/>
      <c r="O593" s="548"/>
      <c r="P593" s="548"/>
      <c r="Q593" s="548"/>
      <c r="R593" s="548"/>
      <c r="S593" s="548"/>
      <c r="T593" s="548"/>
      <c r="U593" s="548"/>
      <c r="V593" s="548"/>
      <c r="W593" s="548"/>
      <c r="X593" s="548"/>
      <c r="Y593" s="548"/>
      <c r="Z593" s="548"/>
      <c r="AA593" s="548"/>
      <c r="AB593" s="548"/>
      <c r="AC593" s="548"/>
      <c r="AD593" s="548"/>
      <c r="AE593" s="548"/>
      <c r="AF593" s="548"/>
      <c r="AG593" s="548"/>
      <c r="AH593" s="548"/>
      <c r="AI593" s="548"/>
      <c r="AJ593" s="548"/>
      <c r="AK593" s="548"/>
      <c r="AL593" s="548"/>
      <c r="AM593" s="548"/>
      <c r="AN593" s="548"/>
      <c r="AO593" s="548"/>
      <c r="AP593" s="548"/>
      <c r="AQ593" s="548"/>
      <c r="AR593" s="548"/>
      <c r="AS593" s="548"/>
      <c r="AT593" s="548"/>
      <c r="AU593" s="548"/>
      <c r="AV593" s="548"/>
      <c r="AW593" s="548"/>
      <c r="AX593" s="548"/>
      <c r="AY593" s="548"/>
    </row>
    <row r="594" spans="1:51" s="433" customFormat="1">
      <c r="A594" s="505">
        <v>45898</v>
      </c>
      <c r="B594" s="182" t="s">
        <v>2706</v>
      </c>
      <c r="C594" s="182" t="s">
        <v>174</v>
      </c>
      <c r="D594" s="182" t="s">
        <v>117</v>
      </c>
      <c r="E594" s="435">
        <v>500</v>
      </c>
      <c r="F594" s="325">
        <f t="shared" si="13"/>
        <v>0.89135775178182408</v>
      </c>
      <c r="G594" s="326">
        <v>560.94200000000001</v>
      </c>
      <c r="H594" s="182" t="s">
        <v>190</v>
      </c>
      <c r="I594" s="182" t="s">
        <v>2707</v>
      </c>
      <c r="J594" s="182" t="s">
        <v>98</v>
      </c>
      <c r="K594" s="438" t="s">
        <v>1902</v>
      </c>
      <c r="L594" s="182" t="s">
        <v>155</v>
      </c>
      <c r="M594" s="548"/>
      <c r="N594" s="548"/>
      <c r="O594" s="548"/>
      <c r="P594" s="548"/>
      <c r="Q594" s="548"/>
      <c r="R594" s="548"/>
      <c r="S594" s="548"/>
      <c r="T594" s="548"/>
      <c r="U594" s="548"/>
      <c r="V594" s="548"/>
      <c r="W594" s="548"/>
      <c r="X594" s="548"/>
      <c r="Y594" s="548"/>
      <c r="Z594" s="548"/>
      <c r="AA594" s="548"/>
      <c r="AB594" s="548"/>
      <c r="AC594" s="548"/>
      <c r="AD594" s="548"/>
      <c r="AE594" s="548"/>
      <c r="AF594" s="548"/>
      <c r="AG594" s="548"/>
      <c r="AH594" s="548"/>
      <c r="AI594" s="548"/>
      <c r="AJ594" s="548"/>
      <c r="AK594" s="548"/>
      <c r="AL594" s="548"/>
      <c r="AM594" s="548"/>
      <c r="AN594" s="548"/>
      <c r="AO594" s="548"/>
      <c r="AP594" s="548"/>
      <c r="AQ594" s="548"/>
      <c r="AR594" s="548"/>
      <c r="AS594" s="548"/>
      <c r="AT594" s="548"/>
      <c r="AU594" s="548"/>
      <c r="AV594" s="548"/>
      <c r="AW594" s="548"/>
      <c r="AX594" s="548"/>
      <c r="AY594" s="548"/>
    </row>
    <row r="595" spans="1:51" s="433" customFormat="1">
      <c r="A595" s="506">
        <v>45898</v>
      </c>
      <c r="B595" s="182" t="s">
        <v>2416</v>
      </c>
      <c r="C595" s="182" t="s">
        <v>182</v>
      </c>
      <c r="D595" s="182" t="s">
        <v>118</v>
      </c>
      <c r="E595" s="435">
        <v>8250</v>
      </c>
      <c r="F595" s="325">
        <f t="shared" si="13"/>
        <v>14.707402904400098</v>
      </c>
      <c r="G595" s="326">
        <v>560.94200000000001</v>
      </c>
      <c r="H595" s="182" t="s">
        <v>190</v>
      </c>
      <c r="I595" s="182" t="s">
        <v>2442</v>
      </c>
      <c r="J595" s="182" t="s">
        <v>98</v>
      </c>
      <c r="K595" s="438" t="s">
        <v>1902</v>
      </c>
      <c r="L595" s="182" t="s">
        <v>155</v>
      </c>
      <c r="M595" s="548"/>
      <c r="N595" s="548"/>
      <c r="O595" s="548"/>
      <c r="P595" s="548"/>
      <c r="Q595" s="548"/>
      <c r="R595" s="548"/>
      <c r="S595" s="548"/>
      <c r="T595" s="548"/>
      <c r="U595" s="548"/>
      <c r="V595" s="548"/>
      <c r="W595" s="548"/>
      <c r="X595" s="548"/>
      <c r="Y595" s="548"/>
      <c r="Z595" s="548"/>
      <c r="AA595" s="548"/>
      <c r="AB595" s="548"/>
      <c r="AC595" s="548"/>
      <c r="AD595" s="548"/>
      <c r="AE595" s="548"/>
      <c r="AF595" s="548"/>
      <c r="AG595" s="548"/>
      <c r="AH595" s="548"/>
      <c r="AI595" s="548"/>
      <c r="AJ595" s="548"/>
      <c r="AK595" s="548"/>
      <c r="AL595" s="548"/>
      <c r="AM595" s="548"/>
      <c r="AN595" s="548"/>
      <c r="AO595" s="548"/>
      <c r="AP595" s="548"/>
      <c r="AQ595" s="548"/>
      <c r="AR595" s="548"/>
      <c r="AS595" s="548"/>
      <c r="AT595" s="548"/>
      <c r="AU595" s="548"/>
      <c r="AV595" s="548"/>
      <c r="AW595" s="548"/>
      <c r="AX595" s="548"/>
      <c r="AY595" s="548"/>
    </row>
    <row r="596" spans="1:51" s="433" customFormat="1">
      <c r="A596" s="505">
        <v>45898</v>
      </c>
      <c r="B596" s="182" t="s">
        <v>2746</v>
      </c>
      <c r="C596" s="182" t="s">
        <v>177</v>
      </c>
      <c r="D596" s="182" t="s">
        <v>117</v>
      </c>
      <c r="E596" s="435">
        <v>15000</v>
      </c>
      <c r="F596" s="325">
        <f t="shared" si="13"/>
        <v>26.740732553454723</v>
      </c>
      <c r="G596" s="326">
        <v>560.94200000000001</v>
      </c>
      <c r="H596" s="182" t="s">
        <v>193</v>
      </c>
      <c r="I596" s="182" t="s">
        <v>2766</v>
      </c>
      <c r="J596" s="182" t="s">
        <v>98</v>
      </c>
      <c r="K596" s="438" t="s">
        <v>1902</v>
      </c>
      <c r="L596" s="182" t="s">
        <v>155</v>
      </c>
      <c r="M596" s="548"/>
      <c r="N596" s="548"/>
      <c r="O596" s="548"/>
      <c r="P596" s="548"/>
      <c r="Q596" s="548"/>
      <c r="R596" s="548"/>
      <c r="S596" s="548"/>
      <c r="T596" s="548"/>
      <c r="U596" s="548"/>
      <c r="V596" s="548"/>
      <c r="W596" s="548"/>
      <c r="X596" s="548"/>
      <c r="Y596" s="548"/>
      <c r="Z596" s="548"/>
      <c r="AA596" s="548"/>
      <c r="AB596" s="548"/>
      <c r="AC596" s="548"/>
      <c r="AD596" s="548"/>
      <c r="AE596" s="548"/>
      <c r="AF596" s="548"/>
      <c r="AG596" s="548"/>
      <c r="AH596" s="548"/>
      <c r="AI596" s="548"/>
      <c r="AJ596" s="548"/>
      <c r="AK596" s="548"/>
      <c r="AL596" s="548"/>
      <c r="AM596" s="548"/>
      <c r="AN596" s="548"/>
      <c r="AO596" s="548"/>
      <c r="AP596" s="548"/>
      <c r="AQ596" s="548"/>
      <c r="AR596" s="548"/>
      <c r="AS596" s="548"/>
      <c r="AT596" s="548"/>
      <c r="AU596" s="548"/>
      <c r="AV596" s="548"/>
      <c r="AW596" s="548"/>
      <c r="AX596" s="548"/>
      <c r="AY596" s="548"/>
    </row>
    <row r="597" spans="1:51" s="433" customFormat="1">
      <c r="A597" s="505">
        <v>45898</v>
      </c>
      <c r="B597" s="182" t="s">
        <v>2747</v>
      </c>
      <c r="C597" s="182" t="s">
        <v>174</v>
      </c>
      <c r="D597" s="182" t="s">
        <v>117</v>
      </c>
      <c r="E597" s="435">
        <v>500</v>
      </c>
      <c r="F597" s="325">
        <f t="shared" si="13"/>
        <v>0.89135775178182408</v>
      </c>
      <c r="G597" s="326">
        <v>560.94200000000001</v>
      </c>
      <c r="H597" s="182" t="s">
        <v>193</v>
      </c>
      <c r="I597" s="182" t="s">
        <v>2753</v>
      </c>
      <c r="J597" s="182" t="s">
        <v>98</v>
      </c>
      <c r="K597" s="438" t="s">
        <v>1902</v>
      </c>
      <c r="L597" s="182" t="s">
        <v>155</v>
      </c>
      <c r="M597" s="548"/>
      <c r="N597" s="548"/>
      <c r="O597" s="548"/>
      <c r="P597" s="548"/>
      <c r="Q597" s="548"/>
      <c r="R597" s="548"/>
      <c r="S597" s="548"/>
      <c r="T597" s="548"/>
      <c r="U597" s="548"/>
      <c r="V597" s="548"/>
      <c r="W597" s="548"/>
      <c r="X597" s="548"/>
      <c r="Y597" s="548"/>
      <c r="Z597" s="548"/>
      <c r="AA597" s="548"/>
      <c r="AB597" s="548"/>
      <c r="AC597" s="548"/>
      <c r="AD597" s="548"/>
      <c r="AE597" s="548"/>
      <c r="AF597" s="548"/>
      <c r="AG597" s="548"/>
      <c r="AH597" s="548"/>
      <c r="AI597" s="548"/>
      <c r="AJ597" s="548"/>
      <c r="AK597" s="548"/>
      <c r="AL597" s="548"/>
      <c r="AM597" s="548"/>
      <c r="AN597" s="548"/>
      <c r="AO597" s="548"/>
      <c r="AP597" s="548"/>
      <c r="AQ597" s="548"/>
      <c r="AR597" s="548"/>
      <c r="AS597" s="548"/>
      <c r="AT597" s="548"/>
      <c r="AU597" s="548"/>
      <c r="AV597" s="548"/>
      <c r="AW597" s="548"/>
      <c r="AX597" s="548"/>
      <c r="AY597" s="548"/>
    </row>
    <row r="598" spans="1:51" s="433" customFormat="1">
      <c r="A598" s="505">
        <v>45898</v>
      </c>
      <c r="B598" s="182" t="s">
        <v>2748</v>
      </c>
      <c r="C598" s="182" t="s">
        <v>174</v>
      </c>
      <c r="D598" s="182" t="s">
        <v>117</v>
      </c>
      <c r="E598" s="435">
        <v>500</v>
      </c>
      <c r="F598" s="325">
        <f t="shared" si="13"/>
        <v>0.89135775178182408</v>
      </c>
      <c r="G598" s="326">
        <v>560.94200000000001</v>
      </c>
      <c r="H598" s="182" t="s">
        <v>193</v>
      </c>
      <c r="I598" s="182" t="s">
        <v>2753</v>
      </c>
      <c r="J598" s="182" t="s">
        <v>98</v>
      </c>
      <c r="K598" s="438" t="s">
        <v>1902</v>
      </c>
      <c r="L598" s="182" t="s">
        <v>155</v>
      </c>
      <c r="M598" s="548"/>
      <c r="N598" s="548"/>
      <c r="O598" s="548"/>
      <c r="P598" s="548"/>
      <c r="Q598" s="548"/>
      <c r="R598" s="548"/>
      <c r="S598" s="548"/>
      <c r="T598" s="548"/>
      <c r="U598" s="548"/>
      <c r="V598" s="548"/>
      <c r="W598" s="548"/>
      <c r="X598" s="548"/>
      <c r="Y598" s="548"/>
      <c r="Z598" s="548"/>
      <c r="AA598" s="548"/>
      <c r="AB598" s="548"/>
      <c r="AC598" s="548"/>
      <c r="AD598" s="548"/>
      <c r="AE598" s="548"/>
      <c r="AF598" s="548"/>
      <c r="AG598" s="548"/>
      <c r="AH598" s="548"/>
      <c r="AI598" s="548"/>
      <c r="AJ598" s="548"/>
      <c r="AK598" s="548"/>
      <c r="AL598" s="548"/>
      <c r="AM598" s="548"/>
      <c r="AN598" s="548"/>
      <c r="AO598" s="548"/>
      <c r="AP598" s="548"/>
      <c r="AQ598" s="548"/>
      <c r="AR598" s="548"/>
      <c r="AS598" s="548"/>
      <c r="AT598" s="548"/>
      <c r="AU598" s="548"/>
      <c r="AV598" s="548"/>
      <c r="AW598" s="548"/>
      <c r="AX598" s="548"/>
      <c r="AY598" s="548"/>
    </row>
    <row r="599" spans="1:51" s="433" customFormat="1">
      <c r="A599" s="503">
        <v>45898</v>
      </c>
      <c r="B599" s="182" t="s">
        <v>2810</v>
      </c>
      <c r="C599" s="517" t="s">
        <v>196</v>
      </c>
      <c r="D599" s="517" t="s">
        <v>117</v>
      </c>
      <c r="E599" s="496">
        <v>500</v>
      </c>
      <c r="F599" s="325">
        <f t="shared" si="13"/>
        <v>0.89135775178182408</v>
      </c>
      <c r="G599" s="326">
        <v>560.94200000000001</v>
      </c>
      <c r="H599" s="517" t="s">
        <v>437</v>
      </c>
      <c r="I599" s="182" t="s">
        <v>2817</v>
      </c>
      <c r="J599" s="182" t="s">
        <v>98</v>
      </c>
      <c r="K599" s="438" t="s">
        <v>1902</v>
      </c>
      <c r="L599" s="182" t="s">
        <v>155</v>
      </c>
      <c r="M599" s="548"/>
      <c r="N599" s="548"/>
      <c r="O599" s="548"/>
      <c r="P599" s="548"/>
      <c r="Q599" s="548"/>
      <c r="R599" s="548"/>
      <c r="S599" s="548"/>
      <c r="T599" s="548"/>
      <c r="U599" s="548"/>
      <c r="V599" s="548"/>
      <c r="W599" s="548"/>
      <c r="X599" s="548"/>
      <c r="Y599" s="548"/>
      <c r="Z599" s="548"/>
      <c r="AA599" s="548"/>
      <c r="AB599" s="548"/>
      <c r="AC599" s="548"/>
      <c r="AD599" s="548"/>
      <c r="AE599" s="548"/>
      <c r="AF599" s="548"/>
      <c r="AG599" s="548"/>
      <c r="AH599" s="548"/>
      <c r="AI599" s="548"/>
      <c r="AJ599" s="548"/>
      <c r="AK599" s="548"/>
      <c r="AL599" s="548"/>
      <c r="AM599" s="548"/>
      <c r="AN599" s="548"/>
      <c r="AO599" s="548"/>
      <c r="AP599" s="548"/>
      <c r="AQ599" s="548"/>
      <c r="AR599" s="548"/>
      <c r="AS599" s="548"/>
      <c r="AT599" s="548"/>
      <c r="AU599" s="548"/>
      <c r="AV599" s="548"/>
      <c r="AW599" s="548"/>
      <c r="AX599" s="548"/>
      <c r="AY599" s="548"/>
    </row>
    <row r="600" spans="1:51" s="433" customFormat="1">
      <c r="A600" s="503">
        <v>45898</v>
      </c>
      <c r="B600" s="182" t="s">
        <v>2797</v>
      </c>
      <c r="C600" s="182" t="s">
        <v>313</v>
      </c>
      <c r="D600" s="517" t="s">
        <v>117</v>
      </c>
      <c r="E600" s="496">
        <v>1500</v>
      </c>
      <c r="F600" s="325">
        <f t="shared" si="13"/>
        <v>2.6740732553454722</v>
      </c>
      <c r="G600" s="326">
        <v>560.94200000000001</v>
      </c>
      <c r="H600" s="517" t="s">
        <v>437</v>
      </c>
      <c r="I600" s="182" t="s">
        <v>2828</v>
      </c>
      <c r="J600" s="182" t="s">
        <v>98</v>
      </c>
      <c r="K600" s="438" t="s">
        <v>1902</v>
      </c>
      <c r="L600" s="182" t="s">
        <v>155</v>
      </c>
      <c r="M600" s="548"/>
      <c r="N600" s="548"/>
      <c r="O600" s="548"/>
      <c r="P600" s="548"/>
      <c r="Q600" s="548"/>
      <c r="R600" s="548"/>
      <c r="S600" s="548"/>
      <c r="T600" s="548"/>
      <c r="U600" s="548"/>
      <c r="V600" s="548"/>
      <c r="W600" s="548"/>
      <c r="X600" s="548"/>
      <c r="Y600" s="548"/>
      <c r="Z600" s="548"/>
      <c r="AA600" s="548"/>
      <c r="AB600" s="548"/>
      <c r="AC600" s="548"/>
      <c r="AD600" s="548"/>
      <c r="AE600" s="548"/>
      <c r="AF600" s="548"/>
      <c r="AG600" s="548"/>
      <c r="AH600" s="548"/>
      <c r="AI600" s="548"/>
      <c r="AJ600" s="548"/>
      <c r="AK600" s="548"/>
      <c r="AL600" s="548"/>
      <c r="AM600" s="548"/>
      <c r="AN600" s="548"/>
      <c r="AO600" s="548"/>
      <c r="AP600" s="548"/>
      <c r="AQ600" s="548"/>
      <c r="AR600" s="548"/>
      <c r="AS600" s="548"/>
      <c r="AT600" s="548"/>
      <c r="AU600" s="548"/>
      <c r="AV600" s="548"/>
      <c r="AW600" s="548"/>
      <c r="AX600" s="548"/>
      <c r="AY600" s="548"/>
    </row>
    <row r="601" spans="1:51" s="433" customFormat="1">
      <c r="A601" s="503">
        <v>45898</v>
      </c>
      <c r="B601" s="182" t="s">
        <v>2795</v>
      </c>
      <c r="C601" s="532" t="s">
        <v>196</v>
      </c>
      <c r="D601" s="517" t="s">
        <v>117</v>
      </c>
      <c r="E601" s="496">
        <v>500</v>
      </c>
      <c r="F601" s="325">
        <f t="shared" si="13"/>
        <v>0.89135775178182408</v>
      </c>
      <c r="G601" s="326">
        <v>560.94200000000001</v>
      </c>
      <c r="H601" s="517" t="s">
        <v>437</v>
      </c>
      <c r="I601" s="182" t="s">
        <v>2817</v>
      </c>
      <c r="J601" s="182" t="s">
        <v>98</v>
      </c>
      <c r="K601" s="438" t="s">
        <v>1902</v>
      </c>
      <c r="L601" s="182" t="s">
        <v>155</v>
      </c>
      <c r="M601" s="548"/>
      <c r="N601" s="548"/>
      <c r="O601" s="548"/>
      <c r="P601" s="548"/>
      <c r="Q601" s="548"/>
      <c r="R601" s="548"/>
      <c r="S601" s="548"/>
      <c r="T601" s="548"/>
      <c r="U601" s="548"/>
      <c r="V601" s="548"/>
      <c r="W601" s="548"/>
      <c r="X601" s="548"/>
      <c r="Y601" s="548"/>
      <c r="Z601" s="548"/>
      <c r="AA601" s="548"/>
      <c r="AB601" s="548"/>
      <c r="AC601" s="548"/>
      <c r="AD601" s="548"/>
      <c r="AE601" s="548"/>
      <c r="AF601" s="548"/>
      <c r="AG601" s="548"/>
      <c r="AH601" s="548"/>
      <c r="AI601" s="548"/>
      <c r="AJ601" s="548"/>
      <c r="AK601" s="548"/>
      <c r="AL601" s="548"/>
      <c r="AM601" s="548"/>
      <c r="AN601" s="548"/>
      <c r="AO601" s="548"/>
      <c r="AP601" s="548"/>
      <c r="AQ601" s="548"/>
      <c r="AR601" s="548"/>
      <c r="AS601" s="548"/>
      <c r="AT601" s="548"/>
      <c r="AU601" s="548"/>
      <c r="AV601" s="548"/>
      <c r="AW601" s="548"/>
      <c r="AX601" s="548"/>
      <c r="AY601" s="548"/>
    </row>
    <row r="602" spans="1:51" s="433" customFormat="1">
      <c r="A602" s="503">
        <v>45898</v>
      </c>
      <c r="B602" s="182" t="s">
        <v>2811</v>
      </c>
      <c r="C602" s="532" t="s">
        <v>196</v>
      </c>
      <c r="D602" s="517" t="s">
        <v>117</v>
      </c>
      <c r="E602" s="496">
        <v>500</v>
      </c>
      <c r="F602" s="325">
        <f t="shared" si="13"/>
        <v>0.89135775178182408</v>
      </c>
      <c r="G602" s="326">
        <v>560.94200000000001</v>
      </c>
      <c r="H602" s="517" t="s">
        <v>437</v>
      </c>
      <c r="I602" s="182" t="s">
        <v>2817</v>
      </c>
      <c r="J602" s="182" t="s">
        <v>98</v>
      </c>
      <c r="K602" s="438" t="s">
        <v>1902</v>
      </c>
      <c r="L602" s="182" t="s">
        <v>155</v>
      </c>
      <c r="M602" s="548"/>
      <c r="N602" s="548"/>
      <c r="O602" s="548"/>
      <c r="P602" s="548"/>
      <c r="Q602" s="548"/>
      <c r="R602" s="548"/>
      <c r="S602" s="548"/>
      <c r="T602" s="548"/>
      <c r="U602" s="548"/>
      <c r="V602" s="548"/>
      <c r="W602" s="548"/>
      <c r="X602" s="548"/>
      <c r="Y602" s="548"/>
      <c r="Z602" s="548"/>
      <c r="AA602" s="548"/>
      <c r="AB602" s="548"/>
      <c r="AC602" s="548"/>
      <c r="AD602" s="548"/>
      <c r="AE602" s="548"/>
      <c r="AF602" s="548"/>
      <c r="AG602" s="548"/>
      <c r="AH602" s="548"/>
      <c r="AI602" s="548"/>
      <c r="AJ602" s="548"/>
      <c r="AK602" s="548"/>
      <c r="AL602" s="548"/>
      <c r="AM602" s="548"/>
      <c r="AN602" s="548"/>
      <c r="AO602" s="548"/>
      <c r="AP602" s="548"/>
      <c r="AQ602" s="548"/>
      <c r="AR602" s="548"/>
      <c r="AS602" s="548"/>
      <c r="AT602" s="548"/>
      <c r="AU602" s="548"/>
      <c r="AV602" s="548"/>
      <c r="AW602" s="548"/>
      <c r="AX602" s="548"/>
      <c r="AY602" s="548"/>
    </row>
    <row r="603" spans="1:51" s="433" customFormat="1">
      <c r="A603" s="503">
        <v>45898</v>
      </c>
      <c r="B603" s="182" t="s">
        <v>1092</v>
      </c>
      <c r="C603" s="519" t="s">
        <v>2812</v>
      </c>
      <c r="D603" s="517" t="s">
        <v>2479</v>
      </c>
      <c r="E603" s="496">
        <v>25200</v>
      </c>
      <c r="F603" s="325">
        <f t="shared" si="13"/>
        <v>44.924430689803934</v>
      </c>
      <c r="G603" s="326">
        <v>560.94200000000001</v>
      </c>
      <c r="H603" s="517" t="s">
        <v>437</v>
      </c>
      <c r="I603" s="182" t="s">
        <v>2830</v>
      </c>
      <c r="J603" s="182" t="s">
        <v>98</v>
      </c>
      <c r="K603" s="438" t="s">
        <v>1902</v>
      </c>
      <c r="L603" s="182" t="s">
        <v>155</v>
      </c>
      <c r="M603" s="548"/>
      <c r="N603" s="548"/>
      <c r="O603" s="548"/>
      <c r="P603" s="548"/>
      <c r="Q603" s="548"/>
      <c r="R603" s="548"/>
      <c r="S603" s="548"/>
      <c r="T603" s="548"/>
      <c r="U603" s="548"/>
      <c r="V603" s="548"/>
      <c r="W603" s="548"/>
      <c r="X603" s="548"/>
      <c r="Y603" s="548"/>
      <c r="Z603" s="548"/>
      <c r="AA603" s="548"/>
      <c r="AB603" s="548"/>
      <c r="AC603" s="548"/>
      <c r="AD603" s="548"/>
      <c r="AE603" s="548"/>
      <c r="AF603" s="548"/>
      <c r="AG603" s="548"/>
      <c r="AH603" s="548"/>
      <c r="AI603" s="548"/>
      <c r="AJ603" s="548"/>
      <c r="AK603" s="548"/>
      <c r="AL603" s="548"/>
      <c r="AM603" s="548"/>
      <c r="AN603" s="548"/>
      <c r="AO603" s="548"/>
      <c r="AP603" s="548"/>
      <c r="AQ603" s="548"/>
      <c r="AR603" s="548"/>
      <c r="AS603" s="548"/>
      <c r="AT603" s="548"/>
      <c r="AU603" s="548"/>
      <c r="AV603" s="548"/>
      <c r="AW603" s="548"/>
      <c r="AX603" s="548"/>
      <c r="AY603" s="548"/>
    </row>
    <row r="604" spans="1:51" s="433" customFormat="1">
      <c r="A604" s="503">
        <v>45898</v>
      </c>
      <c r="B604" s="182" t="s">
        <v>2813</v>
      </c>
      <c r="C604" s="532" t="s">
        <v>196</v>
      </c>
      <c r="D604" s="517" t="s">
        <v>117</v>
      </c>
      <c r="E604" s="533">
        <v>500</v>
      </c>
      <c r="F604" s="325">
        <f t="shared" si="13"/>
        <v>0.89135775178182408</v>
      </c>
      <c r="G604" s="326">
        <v>560.94200000000001</v>
      </c>
      <c r="H604" s="517" t="s">
        <v>437</v>
      </c>
      <c r="I604" s="182" t="s">
        <v>2817</v>
      </c>
      <c r="J604" s="182" t="s">
        <v>98</v>
      </c>
      <c r="K604" s="438" t="s">
        <v>1902</v>
      </c>
      <c r="L604" s="182" t="s">
        <v>155</v>
      </c>
      <c r="M604" s="548"/>
      <c r="N604" s="548"/>
      <c r="O604" s="548"/>
      <c r="P604" s="548"/>
      <c r="Q604" s="548"/>
      <c r="R604" s="548"/>
      <c r="S604" s="548"/>
      <c r="T604" s="548"/>
      <c r="U604" s="548"/>
      <c r="V604" s="548"/>
      <c r="W604" s="548"/>
      <c r="X604" s="548"/>
      <c r="Y604" s="548"/>
      <c r="Z604" s="548"/>
      <c r="AA604" s="548"/>
      <c r="AB604" s="548"/>
      <c r="AC604" s="548"/>
      <c r="AD604" s="548"/>
      <c r="AE604" s="548"/>
      <c r="AF604" s="548"/>
      <c r="AG604" s="548"/>
      <c r="AH604" s="548"/>
      <c r="AI604" s="548"/>
      <c r="AJ604" s="548"/>
      <c r="AK604" s="548"/>
      <c r="AL604" s="548"/>
      <c r="AM604" s="548"/>
      <c r="AN604" s="548"/>
      <c r="AO604" s="548"/>
      <c r="AP604" s="548"/>
      <c r="AQ604" s="548"/>
      <c r="AR604" s="548"/>
      <c r="AS604" s="548"/>
      <c r="AT604" s="548"/>
      <c r="AU604" s="548"/>
      <c r="AV604" s="548"/>
      <c r="AW604" s="548"/>
      <c r="AX604" s="548"/>
      <c r="AY604" s="548"/>
    </row>
    <row r="605" spans="1:51" s="433" customFormat="1">
      <c r="A605" s="503">
        <v>45898</v>
      </c>
      <c r="B605" s="182" t="s">
        <v>2814</v>
      </c>
      <c r="C605" s="517" t="s">
        <v>196</v>
      </c>
      <c r="D605" s="517" t="s">
        <v>117</v>
      </c>
      <c r="E605" s="496">
        <v>500</v>
      </c>
      <c r="F605" s="325">
        <f t="shared" si="13"/>
        <v>0.89135775178182408</v>
      </c>
      <c r="G605" s="326">
        <v>560.94200000000001</v>
      </c>
      <c r="H605" s="517" t="s">
        <v>437</v>
      </c>
      <c r="I605" s="182" t="s">
        <v>2817</v>
      </c>
      <c r="J605" s="182" t="s">
        <v>98</v>
      </c>
      <c r="K605" s="438" t="s">
        <v>1902</v>
      </c>
      <c r="L605" s="182" t="s">
        <v>155</v>
      </c>
      <c r="M605" s="548"/>
      <c r="N605" s="548"/>
      <c r="O605" s="548"/>
      <c r="P605" s="548"/>
      <c r="Q605" s="548"/>
      <c r="R605" s="548"/>
      <c r="S605" s="548"/>
      <c r="T605" s="548"/>
      <c r="U605" s="548"/>
      <c r="V605" s="548"/>
      <c r="W605" s="548"/>
      <c r="X605" s="548"/>
      <c r="Y605" s="548"/>
      <c r="Z605" s="548"/>
      <c r="AA605" s="548"/>
      <c r="AB605" s="548"/>
      <c r="AC605" s="548"/>
      <c r="AD605" s="548"/>
      <c r="AE605" s="548"/>
      <c r="AF605" s="548"/>
      <c r="AG605" s="548"/>
      <c r="AH605" s="548"/>
      <c r="AI605" s="548"/>
      <c r="AJ605" s="548"/>
      <c r="AK605" s="548"/>
      <c r="AL605" s="548"/>
      <c r="AM605" s="548"/>
      <c r="AN605" s="548"/>
      <c r="AO605" s="548"/>
      <c r="AP605" s="548"/>
      <c r="AQ605" s="548"/>
      <c r="AR605" s="548"/>
      <c r="AS605" s="548"/>
      <c r="AT605" s="548"/>
      <c r="AU605" s="548"/>
      <c r="AV605" s="548"/>
      <c r="AW605" s="548"/>
      <c r="AX605" s="548"/>
      <c r="AY605" s="548"/>
    </row>
    <row r="606" spans="1:51" s="433" customFormat="1">
      <c r="A606" s="505">
        <v>45898</v>
      </c>
      <c r="B606" s="182" t="s">
        <v>2851</v>
      </c>
      <c r="C606" s="519" t="s">
        <v>174</v>
      </c>
      <c r="D606" s="182" t="s">
        <v>120</v>
      </c>
      <c r="E606" s="496">
        <v>500</v>
      </c>
      <c r="F606" s="325">
        <f t="shared" si="13"/>
        <v>0.89135775178182408</v>
      </c>
      <c r="G606" s="326">
        <v>560.94200000000001</v>
      </c>
      <c r="H606" s="182" t="s">
        <v>213</v>
      </c>
      <c r="I606" s="182" t="s">
        <v>2853</v>
      </c>
      <c r="J606" s="182" t="s">
        <v>98</v>
      </c>
      <c r="K606" s="438" t="s">
        <v>1902</v>
      </c>
      <c r="L606" s="182" t="s">
        <v>155</v>
      </c>
      <c r="M606" s="548"/>
      <c r="N606" s="548"/>
      <c r="O606" s="548"/>
      <c r="P606" s="548"/>
      <c r="Q606" s="548"/>
      <c r="R606" s="548"/>
      <c r="S606" s="548"/>
      <c r="T606" s="548"/>
      <c r="U606" s="548"/>
      <c r="V606" s="548"/>
      <c r="W606" s="548"/>
      <c r="X606" s="548"/>
      <c r="Y606" s="548"/>
      <c r="Z606" s="548"/>
      <c r="AA606" s="548"/>
      <c r="AB606" s="548"/>
      <c r="AC606" s="548"/>
      <c r="AD606" s="548"/>
      <c r="AE606" s="548"/>
      <c r="AF606" s="548"/>
      <c r="AG606" s="548"/>
      <c r="AH606" s="548"/>
      <c r="AI606" s="548"/>
      <c r="AJ606" s="548"/>
      <c r="AK606" s="548"/>
      <c r="AL606" s="548"/>
      <c r="AM606" s="548"/>
      <c r="AN606" s="548"/>
      <c r="AO606" s="548"/>
      <c r="AP606" s="548"/>
      <c r="AQ606" s="548"/>
      <c r="AR606" s="548"/>
      <c r="AS606" s="548"/>
      <c r="AT606" s="548"/>
      <c r="AU606" s="548"/>
      <c r="AV606" s="548"/>
      <c r="AW606" s="548"/>
      <c r="AX606" s="548"/>
      <c r="AY606" s="548"/>
    </row>
    <row r="607" spans="1:51" s="433" customFormat="1">
      <c r="A607" s="506">
        <v>45898</v>
      </c>
      <c r="B607" s="182" t="s">
        <v>2978</v>
      </c>
      <c r="C607" s="182" t="s">
        <v>2088</v>
      </c>
      <c r="D607" s="182" t="s">
        <v>120</v>
      </c>
      <c r="E607" s="435">
        <v>50000</v>
      </c>
      <c r="F607" s="325">
        <f t="shared" si="13"/>
        <v>89.135775178182413</v>
      </c>
      <c r="G607" s="326">
        <v>560.94200000000001</v>
      </c>
      <c r="H607" s="182" t="s">
        <v>213</v>
      </c>
      <c r="I607" s="182" t="s">
        <v>2440</v>
      </c>
      <c r="J607" s="182" t="s">
        <v>98</v>
      </c>
      <c r="K607" s="438" t="s">
        <v>1902</v>
      </c>
      <c r="L607" s="182" t="s">
        <v>155</v>
      </c>
      <c r="M607" s="548"/>
      <c r="N607" s="548"/>
      <c r="O607" s="548"/>
      <c r="P607" s="548"/>
      <c r="Q607" s="548"/>
      <c r="R607" s="548"/>
      <c r="S607" s="548"/>
      <c r="T607" s="548"/>
      <c r="U607" s="548"/>
      <c r="V607" s="548"/>
      <c r="W607" s="548"/>
      <c r="X607" s="548"/>
      <c r="Y607" s="548"/>
      <c r="Z607" s="548"/>
      <c r="AA607" s="548"/>
      <c r="AB607" s="548"/>
      <c r="AC607" s="548"/>
      <c r="AD607" s="548"/>
      <c r="AE607" s="548"/>
      <c r="AF607" s="548"/>
      <c r="AG607" s="548"/>
      <c r="AH607" s="548"/>
      <c r="AI607" s="548"/>
      <c r="AJ607" s="548"/>
      <c r="AK607" s="548"/>
      <c r="AL607" s="548"/>
      <c r="AM607" s="548"/>
      <c r="AN607" s="548"/>
      <c r="AO607" s="548"/>
      <c r="AP607" s="548"/>
      <c r="AQ607" s="548"/>
      <c r="AR607" s="548"/>
      <c r="AS607" s="548"/>
      <c r="AT607" s="548"/>
      <c r="AU607" s="548"/>
      <c r="AV607" s="548"/>
      <c r="AW607" s="548"/>
      <c r="AX607" s="548"/>
      <c r="AY607" s="548"/>
    </row>
    <row r="608" spans="1:51" s="433" customFormat="1">
      <c r="A608" s="505">
        <v>45898</v>
      </c>
      <c r="B608" s="182" t="s">
        <v>2977</v>
      </c>
      <c r="C608" s="182" t="s">
        <v>2088</v>
      </c>
      <c r="D608" s="182" t="s">
        <v>120</v>
      </c>
      <c r="E608" s="435">
        <v>50000</v>
      </c>
      <c r="F608" s="325">
        <f t="shared" si="13"/>
        <v>89.135775178182413</v>
      </c>
      <c r="G608" s="326">
        <v>560.94200000000001</v>
      </c>
      <c r="H608" s="182" t="s">
        <v>213</v>
      </c>
      <c r="I608" s="182" t="s">
        <v>2440</v>
      </c>
      <c r="J608" s="182" t="s">
        <v>98</v>
      </c>
      <c r="K608" s="438" t="s">
        <v>1902</v>
      </c>
      <c r="L608" s="182" t="s">
        <v>155</v>
      </c>
      <c r="M608" s="548"/>
      <c r="N608" s="548"/>
      <c r="O608" s="548"/>
      <c r="P608" s="548"/>
      <c r="Q608" s="548"/>
      <c r="R608" s="548"/>
      <c r="S608" s="548"/>
      <c r="T608" s="548"/>
      <c r="U608" s="548"/>
      <c r="V608" s="548"/>
      <c r="W608" s="548"/>
      <c r="X608" s="548"/>
      <c r="Y608" s="548"/>
      <c r="Z608" s="548"/>
      <c r="AA608" s="548"/>
      <c r="AB608" s="548"/>
      <c r="AC608" s="548"/>
      <c r="AD608" s="548"/>
      <c r="AE608" s="548"/>
      <c r="AF608" s="548"/>
      <c r="AG608" s="548"/>
      <c r="AH608" s="548"/>
      <c r="AI608" s="548"/>
      <c r="AJ608" s="548"/>
      <c r="AK608" s="548"/>
      <c r="AL608" s="548"/>
      <c r="AM608" s="548"/>
      <c r="AN608" s="548"/>
      <c r="AO608" s="548"/>
      <c r="AP608" s="548"/>
      <c r="AQ608" s="548"/>
      <c r="AR608" s="548"/>
      <c r="AS608" s="548"/>
      <c r="AT608" s="548"/>
      <c r="AU608" s="548"/>
      <c r="AV608" s="548"/>
      <c r="AW608" s="548"/>
      <c r="AX608" s="548"/>
      <c r="AY608" s="548"/>
    </row>
    <row r="609" spans="1:51" s="433" customFormat="1">
      <c r="A609" s="506">
        <v>45898</v>
      </c>
      <c r="B609" s="182" t="s">
        <v>2976</v>
      </c>
      <c r="C609" s="182" t="s">
        <v>2088</v>
      </c>
      <c r="D609" s="182" t="s">
        <v>120</v>
      </c>
      <c r="E609" s="435">
        <v>50000</v>
      </c>
      <c r="F609" s="325">
        <f t="shared" si="13"/>
        <v>89.135775178182413</v>
      </c>
      <c r="G609" s="326">
        <v>560.94200000000001</v>
      </c>
      <c r="H609" s="182" t="s">
        <v>213</v>
      </c>
      <c r="I609" s="182" t="s">
        <v>2440</v>
      </c>
      <c r="J609" s="182" t="s">
        <v>98</v>
      </c>
      <c r="K609" s="438" t="s">
        <v>1902</v>
      </c>
      <c r="L609" s="182" t="s">
        <v>155</v>
      </c>
      <c r="M609" s="548"/>
      <c r="N609" s="548"/>
      <c r="O609" s="548"/>
      <c r="P609" s="548"/>
      <c r="Q609" s="548"/>
      <c r="R609" s="548"/>
      <c r="S609" s="548"/>
      <c r="T609" s="548"/>
      <c r="U609" s="548"/>
      <c r="V609" s="548"/>
      <c r="W609" s="548"/>
      <c r="X609" s="548"/>
      <c r="Y609" s="548"/>
      <c r="Z609" s="548"/>
      <c r="AA609" s="548"/>
      <c r="AB609" s="548"/>
      <c r="AC609" s="548"/>
      <c r="AD609" s="548"/>
      <c r="AE609" s="548"/>
      <c r="AF609" s="548"/>
      <c r="AG609" s="548"/>
      <c r="AH609" s="548"/>
      <c r="AI609" s="548"/>
      <c r="AJ609" s="548"/>
      <c r="AK609" s="548"/>
      <c r="AL609" s="548"/>
      <c r="AM609" s="548"/>
      <c r="AN609" s="548"/>
      <c r="AO609" s="548"/>
      <c r="AP609" s="548"/>
      <c r="AQ609" s="548"/>
      <c r="AR609" s="548"/>
      <c r="AS609" s="548"/>
      <c r="AT609" s="548"/>
      <c r="AU609" s="548"/>
      <c r="AV609" s="548"/>
      <c r="AW609" s="548"/>
      <c r="AX609" s="548"/>
      <c r="AY609" s="548"/>
    </row>
    <row r="610" spans="1:51" s="433" customFormat="1">
      <c r="A610" s="505">
        <v>45898</v>
      </c>
      <c r="B610" s="182" t="s">
        <v>2975</v>
      </c>
      <c r="C610" s="182" t="s">
        <v>2088</v>
      </c>
      <c r="D610" s="182" t="s">
        <v>120</v>
      </c>
      <c r="E610" s="435">
        <v>50000</v>
      </c>
      <c r="F610" s="325">
        <f t="shared" si="13"/>
        <v>89.135775178182413</v>
      </c>
      <c r="G610" s="326">
        <v>560.94200000000001</v>
      </c>
      <c r="H610" s="182" t="s">
        <v>213</v>
      </c>
      <c r="I610" s="182" t="s">
        <v>2440</v>
      </c>
      <c r="J610" s="182" t="s">
        <v>98</v>
      </c>
      <c r="K610" s="438" t="s">
        <v>1902</v>
      </c>
      <c r="L610" s="182" t="s">
        <v>155</v>
      </c>
      <c r="M610" s="548"/>
      <c r="N610" s="548"/>
      <c r="O610" s="548"/>
      <c r="P610" s="548"/>
      <c r="Q610" s="548"/>
      <c r="R610" s="548"/>
      <c r="S610" s="548"/>
      <c r="T610" s="548"/>
      <c r="U610" s="548"/>
      <c r="V610" s="548"/>
      <c r="W610" s="548"/>
      <c r="X610" s="548"/>
      <c r="Y610" s="548"/>
      <c r="Z610" s="548"/>
      <c r="AA610" s="548"/>
      <c r="AB610" s="548"/>
      <c r="AC610" s="548"/>
      <c r="AD610" s="548"/>
      <c r="AE610" s="548"/>
      <c r="AF610" s="548"/>
      <c r="AG610" s="548"/>
      <c r="AH610" s="548"/>
      <c r="AI610" s="548"/>
      <c r="AJ610" s="548"/>
      <c r="AK610" s="548"/>
      <c r="AL610" s="548"/>
      <c r="AM610" s="548"/>
      <c r="AN610" s="548"/>
      <c r="AO610" s="548"/>
      <c r="AP610" s="548"/>
      <c r="AQ610" s="548"/>
      <c r="AR610" s="548"/>
      <c r="AS610" s="548"/>
      <c r="AT610" s="548"/>
      <c r="AU610" s="548"/>
      <c r="AV610" s="548"/>
      <c r="AW610" s="548"/>
      <c r="AX610" s="548"/>
      <c r="AY610" s="548"/>
    </row>
    <row r="611" spans="1:51" s="433" customFormat="1">
      <c r="A611" s="505">
        <v>45898</v>
      </c>
      <c r="B611" s="182" t="s">
        <v>2852</v>
      </c>
      <c r="C611" s="182" t="s">
        <v>174</v>
      </c>
      <c r="D611" s="182" t="s">
        <v>120</v>
      </c>
      <c r="E611" s="496">
        <v>500</v>
      </c>
      <c r="F611" s="325">
        <f t="shared" si="13"/>
        <v>0.89135775178182408</v>
      </c>
      <c r="G611" s="326">
        <v>560.94200000000001</v>
      </c>
      <c r="H611" s="182" t="s">
        <v>213</v>
      </c>
      <c r="I611" s="182" t="s">
        <v>2853</v>
      </c>
      <c r="J611" s="182" t="s">
        <v>98</v>
      </c>
      <c r="K611" s="438" t="s">
        <v>1902</v>
      </c>
      <c r="L611" s="182" t="s">
        <v>155</v>
      </c>
      <c r="M611" s="548"/>
      <c r="N611" s="548"/>
      <c r="O611" s="548"/>
      <c r="P611" s="548"/>
      <c r="Q611" s="548"/>
      <c r="R611" s="548"/>
      <c r="S611" s="548"/>
      <c r="T611" s="548"/>
      <c r="U611" s="548"/>
      <c r="V611" s="548"/>
      <c r="W611" s="548"/>
      <c r="X611" s="548"/>
      <c r="Y611" s="548"/>
      <c r="Z611" s="548"/>
      <c r="AA611" s="548"/>
      <c r="AB611" s="548"/>
      <c r="AC611" s="548"/>
      <c r="AD611" s="548"/>
      <c r="AE611" s="548"/>
      <c r="AF611" s="548"/>
      <c r="AG611" s="548"/>
      <c r="AH611" s="548"/>
      <c r="AI611" s="548"/>
      <c r="AJ611" s="548"/>
      <c r="AK611" s="548"/>
      <c r="AL611" s="548"/>
      <c r="AM611" s="548"/>
      <c r="AN611" s="548"/>
      <c r="AO611" s="548"/>
      <c r="AP611" s="548"/>
      <c r="AQ611" s="548"/>
      <c r="AR611" s="548"/>
      <c r="AS611" s="548"/>
      <c r="AT611" s="548"/>
      <c r="AU611" s="548"/>
      <c r="AV611" s="548"/>
      <c r="AW611" s="548"/>
      <c r="AX611" s="548"/>
      <c r="AY611" s="548"/>
    </row>
    <row r="612" spans="1:51" s="433" customFormat="1">
      <c r="A612" s="508">
        <v>45898</v>
      </c>
      <c r="B612" s="367" t="s">
        <v>2907</v>
      </c>
      <c r="C612" s="182" t="s">
        <v>127</v>
      </c>
      <c r="D612" s="182" t="s">
        <v>121</v>
      </c>
      <c r="E612" s="435">
        <v>222097</v>
      </c>
      <c r="F612" s="325">
        <f t="shared" si="13"/>
        <v>395.9357651949756</v>
      </c>
      <c r="G612" s="326">
        <v>560.94200000000001</v>
      </c>
      <c r="H612" s="182" t="s">
        <v>148</v>
      </c>
      <c r="I612" s="182" t="s">
        <v>2928</v>
      </c>
      <c r="J612" s="182" t="s">
        <v>98</v>
      </c>
      <c r="K612" s="438" t="s">
        <v>1902</v>
      </c>
      <c r="L612" s="182" t="s">
        <v>155</v>
      </c>
      <c r="M612" s="548"/>
      <c r="N612" s="548"/>
      <c r="O612" s="548"/>
      <c r="P612" s="548"/>
      <c r="Q612" s="548"/>
      <c r="R612" s="548"/>
      <c r="S612" s="548"/>
      <c r="T612" s="548"/>
      <c r="U612" s="548"/>
      <c r="V612" s="548"/>
      <c r="W612" s="548"/>
      <c r="X612" s="548"/>
      <c r="Y612" s="548"/>
      <c r="Z612" s="548"/>
      <c r="AA612" s="548"/>
      <c r="AB612" s="548"/>
      <c r="AC612" s="548"/>
      <c r="AD612" s="548"/>
      <c r="AE612" s="548"/>
      <c r="AF612" s="548"/>
      <c r="AG612" s="548"/>
      <c r="AH612" s="548"/>
      <c r="AI612" s="548"/>
      <c r="AJ612" s="548"/>
      <c r="AK612" s="548"/>
      <c r="AL612" s="548"/>
      <c r="AM612" s="548"/>
      <c r="AN612" s="548"/>
      <c r="AO612" s="548"/>
      <c r="AP612" s="548"/>
      <c r="AQ612" s="548"/>
      <c r="AR612" s="548"/>
      <c r="AS612" s="548"/>
      <c r="AT612" s="548"/>
      <c r="AU612" s="548"/>
      <c r="AV612" s="548"/>
      <c r="AW612" s="548"/>
      <c r="AX612" s="548"/>
      <c r="AY612" s="548"/>
    </row>
    <row r="613" spans="1:51" s="433" customFormat="1">
      <c r="A613" s="508">
        <v>45898</v>
      </c>
      <c r="B613" s="367" t="s">
        <v>2908</v>
      </c>
      <c r="C613" s="439" t="s">
        <v>127</v>
      </c>
      <c r="D613" s="444" t="s">
        <v>121</v>
      </c>
      <c r="E613" s="435">
        <v>255000</v>
      </c>
      <c r="F613" s="325">
        <f t="shared" si="13"/>
        <v>454.59245340873031</v>
      </c>
      <c r="G613" s="326">
        <v>560.94200000000001</v>
      </c>
      <c r="H613" s="182" t="s">
        <v>148</v>
      </c>
      <c r="I613" s="182" t="s">
        <v>2929</v>
      </c>
      <c r="J613" s="182" t="s">
        <v>98</v>
      </c>
      <c r="K613" s="438" t="s">
        <v>1902</v>
      </c>
      <c r="L613" s="182" t="s">
        <v>155</v>
      </c>
      <c r="M613" s="548"/>
      <c r="N613" s="548"/>
      <c r="O613" s="548"/>
      <c r="P613" s="548"/>
      <c r="Q613" s="548"/>
      <c r="R613" s="548"/>
      <c r="S613" s="548"/>
      <c r="T613" s="548"/>
      <c r="U613" s="548"/>
      <c r="V613" s="548"/>
      <c r="W613" s="548"/>
      <c r="X613" s="548"/>
      <c r="Y613" s="548"/>
      <c r="Z613" s="548"/>
      <c r="AA613" s="548"/>
      <c r="AB613" s="548"/>
      <c r="AC613" s="548"/>
      <c r="AD613" s="548"/>
      <c r="AE613" s="548"/>
      <c r="AF613" s="548"/>
      <c r="AG613" s="548"/>
      <c r="AH613" s="548"/>
      <c r="AI613" s="548"/>
      <c r="AJ613" s="548"/>
      <c r="AK613" s="548"/>
      <c r="AL613" s="548"/>
      <c r="AM613" s="548"/>
      <c r="AN613" s="548"/>
      <c r="AO613" s="548"/>
      <c r="AP613" s="548"/>
      <c r="AQ613" s="548"/>
      <c r="AR613" s="548"/>
      <c r="AS613" s="548"/>
      <c r="AT613" s="548"/>
      <c r="AU613" s="548"/>
      <c r="AV613" s="548"/>
      <c r="AW613" s="548"/>
      <c r="AX613" s="548"/>
      <c r="AY613" s="548"/>
    </row>
    <row r="614" spans="1:51" s="433" customFormat="1">
      <c r="A614" s="505">
        <v>45899</v>
      </c>
      <c r="B614" s="182" t="s">
        <v>2940</v>
      </c>
      <c r="C614" s="182" t="s">
        <v>177</v>
      </c>
      <c r="D614" s="182" t="s">
        <v>117</v>
      </c>
      <c r="E614" s="435">
        <v>15000</v>
      </c>
      <c r="F614" s="325">
        <f t="shared" si="13"/>
        <v>26.740732553454723</v>
      </c>
      <c r="G614" s="326">
        <v>560.94200000000001</v>
      </c>
      <c r="H614" s="182" t="s">
        <v>193</v>
      </c>
      <c r="I614" s="182" t="s">
        <v>2767</v>
      </c>
      <c r="J614" s="182" t="s">
        <v>98</v>
      </c>
      <c r="K614" s="438" t="s">
        <v>1902</v>
      </c>
      <c r="L614" s="182" t="s">
        <v>155</v>
      </c>
      <c r="M614" s="548"/>
      <c r="N614" s="548"/>
      <c r="O614" s="548"/>
      <c r="P614" s="548"/>
      <c r="Q614" s="548"/>
      <c r="R614" s="548"/>
      <c r="S614" s="548"/>
      <c r="T614" s="548"/>
      <c r="U614" s="548"/>
      <c r="V614" s="548"/>
      <c r="W614" s="548"/>
      <c r="X614" s="548"/>
      <c r="Y614" s="548"/>
      <c r="Z614" s="548"/>
      <c r="AA614" s="548"/>
      <c r="AB614" s="548"/>
      <c r="AC614" s="548"/>
      <c r="AD614" s="548"/>
      <c r="AE614" s="548"/>
      <c r="AF614" s="548"/>
      <c r="AG614" s="548"/>
      <c r="AH614" s="548"/>
      <c r="AI614" s="548"/>
      <c r="AJ614" s="548"/>
      <c r="AK614" s="548"/>
      <c r="AL614" s="548"/>
      <c r="AM614" s="548"/>
      <c r="AN614" s="548"/>
      <c r="AO614" s="548"/>
      <c r="AP614" s="548"/>
      <c r="AQ614" s="548"/>
      <c r="AR614" s="548"/>
      <c r="AS614" s="548"/>
      <c r="AT614" s="548"/>
      <c r="AU614" s="548"/>
      <c r="AV614" s="548"/>
      <c r="AW614" s="548"/>
      <c r="AX614" s="548"/>
      <c r="AY614" s="548"/>
    </row>
    <row r="615" spans="1:51" s="433" customFormat="1">
      <c r="A615" s="505">
        <v>45899</v>
      </c>
      <c r="B615" s="182" t="s">
        <v>2750</v>
      </c>
      <c r="C615" s="182" t="s">
        <v>174</v>
      </c>
      <c r="D615" s="182" t="s">
        <v>117</v>
      </c>
      <c r="E615" s="435">
        <v>500</v>
      </c>
      <c r="F615" s="325">
        <f t="shared" si="13"/>
        <v>0.89135775178182408</v>
      </c>
      <c r="G615" s="326">
        <v>560.94200000000001</v>
      </c>
      <c r="H615" s="182" t="s">
        <v>193</v>
      </c>
      <c r="I615" s="182" t="s">
        <v>2753</v>
      </c>
      <c r="J615" s="182" t="s">
        <v>98</v>
      </c>
      <c r="K615" s="438" t="s">
        <v>1902</v>
      </c>
      <c r="L615" s="182" t="s">
        <v>155</v>
      </c>
      <c r="M615" s="548"/>
      <c r="N615" s="548"/>
      <c r="O615" s="548"/>
      <c r="P615" s="548"/>
      <c r="Q615" s="548"/>
      <c r="R615" s="548"/>
      <c r="S615" s="548"/>
      <c r="T615" s="548"/>
      <c r="U615" s="548"/>
      <c r="V615" s="548"/>
      <c r="W615" s="548"/>
      <c r="X615" s="548"/>
      <c r="Y615" s="548"/>
      <c r="Z615" s="548"/>
      <c r="AA615" s="548"/>
      <c r="AB615" s="548"/>
      <c r="AC615" s="548"/>
      <c r="AD615" s="548"/>
      <c r="AE615" s="548"/>
      <c r="AF615" s="548"/>
      <c r="AG615" s="548"/>
      <c r="AH615" s="548"/>
      <c r="AI615" s="548"/>
      <c r="AJ615" s="548"/>
      <c r="AK615" s="548"/>
      <c r="AL615" s="548"/>
      <c r="AM615" s="548"/>
      <c r="AN615" s="548"/>
      <c r="AO615" s="548"/>
      <c r="AP615" s="548"/>
      <c r="AQ615" s="548"/>
      <c r="AR615" s="548"/>
      <c r="AS615" s="548"/>
      <c r="AT615" s="548"/>
      <c r="AU615" s="548"/>
      <c r="AV615" s="548"/>
      <c r="AW615" s="548"/>
      <c r="AX615" s="548"/>
      <c r="AY615" s="548"/>
    </row>
    <row r="616" spans="1:51" s="433" customFormat="1">
      <c r="A616" s="505">
        <v>45899</v>
      </c>
      <c r="B616" s="182" t="s">
        <v>2751</v>
      </c>
      <c r="C616" s="519" t="s">
        <v>174</v>
      </c>
      <c r="D616" s="519" t="s">
        <v>117</v>
      </c>
      <c r="E616" s="435">
        <v>500</v>
      </c>
      <c r="F616" s="325">
        <f t="shared" si="13"/>
        <v>0.89135775178182408</v>
      </c>
      <c r="G616" s="326">
        <v>560.94200000000001</v>
      </c>
      <c r="H616" s="182" t="s">
        <v>193</v>
      </c>
      <c r="I616" s="182" t="s">
        <v>2753</v>
      </c>
      <c r="J616" s="182" t="s">
        <v>98</v>
      </c>
      <c r="K616" s="438" t="s">
        <v>1902</v>
      </c>
      <c r="L616" s="182" t="s">
        <v>155</v>
      </c>
      <c r="M616" s="548"/>
      <c r="N616" s="548"/>
      <c r="O616" s="548"/>
      <c r="P616" s="548"/>
      <c r="Q616" s="548"/>
      <c r="R616" s="548"/>
      <c r="S616" s="548"/>
      <c r="T616" s="548"/>
      <c r="U616" s="548"/>
      <c r="V616" s="548"/>
      <c r="W616" s="548"/>
      <c r="X616" s="548"/>
      <c r="Y616" s="548"/>
      <c r="Z616" s="548"/>
      <c r="AA616" s="548"/>
      <c r="AB616" s="548"/>
      <c r="AC616" s="548"/>
      <c r="AD616" s="548"/>
      <c r="AE616" s="548"/>
      <c r="AF616" s="548"/>
      <c r="AG616" s="548"/>
      <c r="AH616" s="548"/>
      <c r="AI616" s="548"/>
      <c r="AJ616" s="548"/>
      <c r="AK616" s="548"/>
      <c r="AL616" s="548"/>
      <c r="AM616" s="548"/>
      <c r="AN616" s="548"/>
      <c r="AO616" s="548"/>
      <c r="AP616" s="548"/>
      <c r="AQ616" s="548"/>
      <c r="AR616" s="548"/>
      <c r="AS616" s="548"/>
      <c r="AT616" s="548"/>
      <c r="AU616" s="548"/>
      <c r="AV616" s="548"/>
      <c r="AW616" s="548"/>
      <c r="AX616" s="548"/>
      <c r="AY616" s="548"/>
    </row>
    <row r="617" spans="1:51" s="433" customFormat="1">
      <c r="A617" s="467">
        <v>45900</v>
      </c>
      <c r="B617" s="177" t="s">
        <v>3029</v>
      </c>
      <c r="C617" s="511" t="s">
        <v>174</v>
      </c>
      <c r="D617" s="177" t="s">
        <v>121</v>
      </c>
      <c r="E617" s="177">
        <v>35000</v>
      </c>
      <c r="F617" s="325">
        <f t="shared" si="13"/>
        <v>62.395042624727687</v>
      </c>
      <c r="G617" s="326">
        <v>560.94200000000001</v>
      </c>
      <c r="H617" s="177" t="s">
        <v>184</v>
      </c>
      <c r="I617" s="177" t="s">
        <v>2576</v>
      </c>
      <c r="J617" s="182" t="s">
        <v>98</v>
      </c>
      <c r="K617" s="438" t="s">
        <v>1902</v>
      </c>
      <c r="L617" s="182" t="s">
        <v>155</v>
      </c>
      <c r="M617" s="548"/>
      <c r="N617" s="548"/>
      <c r="O617" s="548"/>
      <c r="P617" s="548"/>
      <c r="Q617" s="548"/>
      <c r="R617" s="548"/>
      <c r="S617" s="548"/>
      <c r="T617" s="548"/>
      <c r="U617" s="548"/>
      <c r="V617" s="548"/>
      <c r="W617" s="548"/>
      <c r="X617" s="548"/>
      <c r="Y617" s="548"/>
      <c r="Z617" s="548"/>
      <c r="AA617" s="548"/>
      <c r="AB617" s="548"/>
      <c r="AC617" s="548"/>
      <c r="AD617" s="548"/>
      <c r="AE617" s="548"/>
      <c r="AF617" s="548"/>
      <c r="AG617" s="548"/>
      <c r="AH617" s="548"/>
      <c r="AI617" s="548"/>
      <c r="AJ617" s="548"/>
      <c r="AK617" s="548"/>
      <c r="AL617" s="548"/>
      <c r="AM617" s="548"/>
      <c r="AN617" s="548"/>
      <c r="AO617" s="548"/>
      <c r="AP617" s="548"/>
      <c r="AQ617" s="548"/>
      <c r="AR617" s="548"/>
      <c r="AS617" s="548"/>
      <c r="AT617" s="548"/>
      <c r="AU617" s="548"/>
      <c r="AV617" s="548"/>
      <c r="AW617" s="548"/>
      <c r="AX617" s="548"/>
      <c r="AY617" s="548"/>
    </row>
    <row r="618" spans="1:51" s="433" customFormat="1">
      <c r="A618" s="467">
        <v>45900</v>
      </c>
      <c r="B618" s="177" t="s">
        <v>3027</v>
      </c>
      <c r="C618" s="511" t="s">
        <v>177</v>
      </c>
      <c r="D618" s="177" t="s">
        <v>121</v>
      </c>
      <c r="E618" s="177">
        <v>90000</v>
      </c>
      <c r="F618" s="325">
        <f t="shared" si="13"/>
        <v>160.44439532072835</v>
      </c>
      <c r="G618" s="326">
        <v>560.94200000000001</v>
      </c>
      <c r="H618" s="177" t="s">
        <v>184</v>
      </c>
      <c r="I618" s="177" t="s">
        <v>2577</v>
      </c>
      <c r="J618" s="182" t="s">
        <v>98</v>
      </c>
      <c r="K618" s="438" t="s">
        <v>1902</v>
      </c>
      <c r="L618" s="182" t="s">
        <v>155</v>
      </c>
      <c r="M618" s="548"/>
      <c r="N618" s="548"/>
      <c r="O618" s="548"/>
      <c r="P618" s="548"/>
      <c r="Q618" s="548"/>
      <c r="R618" s="548"/>
      <c r="S618" s="548"/>
      <c r="T618" s="548"/>
      <c r="U618" s="548"/>
      <c r="V618" s="548"/>
      <c r="W618" s="548"/>
      <c r="X618" s="548"/>
      <c r="Y618" s="548"/>
      <c r="Z618" s="548"/>
      <c r="AA618" s="548"/>
      <c r="AB618" s="548"/>
      <c r="AC618" s="548"/>
      <c r="AD618" s="548"/>
      <c r="AE618" s="548"/>
      <c r="AF618" s="548"/>
      <c r="AG618" s="548"/>
      <c r="AH618" s="548"/>
      <c r="AI618" s="548"/>
      <c r="AJ618" s="548"/>
      <c r="AK618" s="548"/>
      <c r="AL618" s="548"/>
      <c r="AM618" s="548"/>
      <c r="AN618" s="548"/>
      <c r="AO618" s="548"/>
      <c r="AP618" s="548"/>
      <c r="AQ618" s="548"/>
      <c r="AR618" s="548"/>
      <c r="AS618" s="548"/>
      <c r="AT618" s="548"/>
      <c r="AU618" s="548"/>
      <c r="AV618" s="548"/>
      <c r="AW618" s="548"/>
      <c r="AX618" s="548"/>
      <c r="AY618" s="548"/>
    </row>
    <row r="619" spans="1:51" s="433" customFormat="1">
      <c r="A619" s="467">
        <v>45900</v>
      </c>
      <c r="B619" s="177" t="s">
        <v>3045</v>
      </c>
      <c r="C619" s="177" t="s">
        <v>174</v>
      </c>
      <c r="D619" s="177" t="s">
        <v>121</v>
      </c>
      <c r="E619" s="177">
        <v>1000</v>
      </c>
      <c r="F619" s="325">
        <f t="shared" si="13"/>
        <v>1.7827155035636482</v>
      </c>
      <c r="G619" s="326">
        <v>560.94200000000001</v>
      </c>
      <c r="H619" s="177" t="s">
        <v>184</v>
      </c>
      <c r="I619" s="177" t="s">
        <v>2558</v>
      </c>
      <c r="J619" s="182" t="s">
        <v>98</v>
      </c>
      <c r="K619" s="438" t="s">
        <v>1902</v>
      </c>
      <c r="L619" s="182" t="s">
        <v>155</v>
      </c>
      <c r="M619" s="548"/>
      <c r="N619" s="548"/>
      <c r="O619" s="548"/>
      <c r="P619" s="548"/>
      <c r="Q619" s="548"/>
      <c r="R619" s="548"/>
      <c r="S619" s="548"/>
      <c r="T619" s="548"/>
      <c r="U619" s="548"/>
      <c r="V619" s="548"/>
      <c r="W619" s="548"/>
      <c r="X619" s="548"/>
      <c r="Y619" s="548"/>
      <c r="Z619" s="548"/>
      <c r="AA619" s="548"/>
      <c r="AB619" s="548"/>
      <c r="AC619" s="548"/>
      <c r="AD619" s="548"/>
      <c r="AE619" s="548"/>
      <c r="AF619" s="548"/>
      <c r="AG619" s="548"/>
      <c r="AH619" s="548"/>
      <c r="AI619" s="548"/>
      <c r="AJ619" s="548"/>
      <c r="AK619" s="548"/>
      <c r="AL619" s="548"/>
      <c r="AM619" s="548"/>
      <c r="AN619" s="548"/>
      <c r="AO619" s="548"/>
      <c r="AP619" s="548"/>
      <c r="AQ619" s="548"/>
      <c r="AR619" s="548"/>
      <c r="AS619" s="548"/>
      <c r="AT619" s="548"/>
      <c r="AU619" s="548"/>
      <c r="AV619" s="548"/>
      <c r="AW619" s="548"/>
      <c r="AX619" s="548"/>
      <c r="AY619" s="548"/>
    </row>
    <row r="620" spans="1:51" s="433" customFormat="1">
      <c r="A620" s="505">
        <v>45900</v>
      </c>
      <c r="B620" s="182" t="s">
        <v>2993</v>
      </c>
      <c r="C620" s="519" t="s">
        <v>174</v>
      </c>
      <c r="D620" s="177" t="s">
        <v>121</v>
      </c>
      <c r="E620" s="182">
        <v>35000</v>
      </c>
      <c r="F620" s="325">
        <f t="shared" si="13"/>
        <v>62.395042624727687</v>
      </c>
      <c r="G620" s="326">
        <v>560.94200000000001</v>
      </c>
      <c r="H620" s="182" t="s">
        <v>175</v>
      </c>
      <c r="I620" s="182" t="s">
        <v>2603</v>
      </c>
      <c r="J620" s="182" t="s">
        <v>98</v>
      </c>
      <c r="K620" s="438" t="s">
        <v>1902</v>
      </c>
      <c r="L620" s="182" t="s">
        <v>155</v>
      </c>
      <c r="M620" s="548"/>
      <c r="N620" s="548"/>
      <c r="O620" s="548"/>
      <c r="P620" s="548"/>
      <c r="Q620" s="548"/>
      <c r="R620" s="548"/>
      <c r="S620" s="548"/>
      <c r="T620" s="548"/>
      <c r="U620" s="548"/>
      <c r="V620" s="548"/>
      <c r="W620" s="548"/>
      <c r="X620" s="548"/>
      <c r="Y620" s="548"/>
      <c r="Z620" s="548"/>
      <c r="AA620" s="548"/>
      <c r="AB620" s="548"/>
      <c r="AC620" s="548"/>
      <c r="AD620" s="548"/>
      <c r="AE620" s="548"/>
      <c r="AF620" s="548"/>
      <c r="AG620" s="548"/>
      <c r="AH620" s="548"/>
      <c r="AI620" s="548"/>
      <c r="AJ620" s="548"/>
      <c r="AK620" s="548"/>
      <c r="AL620" s="548"/>
      <c r="AM620" s="548"/>
      <c r="AN620" s="548"/>
      <c r="AO620" s="548"/>
      <c r="AP620" s="548"/>
      <c r="AQ620" s="548"/>
      <c r="AR620" s="548"/>
      <c r="AS620" s="548"/>
      <c r="AT620" s="548"/>
      <c r="AU620" s="548"/>
      <c r="AV620" s="548"/>
      <c r="AW620" s="548"/>
      <c r="AX620" s="548"/>
      <c r="AY620" s="548"/>
    </row>
    <row r="621" spans="1:51" s="433" customFormat="1">
      <c r="A621" s="505">
        <v>45900</v>
      </c>
      <c r="B621" s="519" t="s">
        <v>2992</v>
      </c>
      <c r="C621" s="519" t="s">
        <v>2456</v>
      </c>
      <c r="D621" s="177" t="s">
        <v>121</v>
      </c>
      <c r="E621" s="182">
        <v>90000</v>
      </c>
      <c r="F621" s="325">
        <f t="shared" si="13"/>
        <v>160.44439532072835</v>
      </c>
      <c r="G621" s="326">
        <v>560.94200000000001</v>
      </c>
      <c r="H621" s="182" t="s">
        <v>175</v>
      </c>
      <c r="I621" s="182" t="s">
        <v>2604</v>
      </c>
      <c r="J621" s="182" t="s">
        <v>98</v>
      </c>
      <c r="K621" s="438" t="s">
        <v>1902</v>
      </c>
      <c r="L621" s="182" t="s">
        <v>155</v>
      </c>
      <c r="M621" s="548"/>
      <c r="N621" s="548"/>
      <c r="O621" s="548"/>
      <c r="P621" s="548"/>
      <c r="Q621" s="548"/>
      <c r="R621" s="548"/>
      <c r="S621" s="548"/>
      <c r="T621" s="548"/>
      <c r="U621" s="548"/>
      <c r="V621" s="548"/>
      <c r="W621" s="548"/>
      <c r="X621" s="548"/>
      <c r="Y621" s="548"/>
      <c r="Z621" s="548"/>
      <c r="AA621" s="548"/>
      <c r="AB621" s="548"/>
      <c r="AC621" s="548"/>
      <c r="AD621" s="548"/>
      <c r="AE621" s="548"/>
      <c r="AF621" s="548"/>
      <c r="AG621" s="548"/>
      <c r="AH621" s="548"/>
      <c r="AI621" s="548"/>
      <c r="AJ621" s="548"/>
      <c r="AK621" s="548"/>
      <c r="AL621" s="548"/>
      <c r="AM621" s="548"/>
      <c r="AN621" s="548"/>
      <c r="AO621" s="548"/>
      <c r="AP621" s="548"/>
      <c r="AQ621" s="548"/>
      <c r="AR621" s="548"/>
      <c r="AS621" s="548"/>
      <c r="AT621" s="548"/>
      <c r="AU621" s="548"/>
      <c r="AV621" s="548"/>
      <c r="AW621" s="548"/>
      <c r="AX621" s="548"/>
      <c r="AY621" s="548"/>
    </row>
    <row r="622" spans="1:51" s="433" customFormat="1">
      <c r="A622" s="509"/>
      <c r="E622" s="552"/>
      <c r="F622" s="552"/>
      <c r="M622" s="548"/>
      <c r="N622" s="548"/>
      <c r="O622" s="548"/>
      <c r="P622" s="548"/>
      <c r="Q622" s="548"/>
      <c r="R622" s="548"/>
      <c r="S622" s="548"/>
      <c r="T622" s="548"/>
      <c r="U622" s="548"/>
      <c r="V622" s="548"/>
      <c r="W622" s="548"/>
      <c r="X622" s="548"/>
      <c r="Y622" s="548"/>
      <c r="Z622" s="548"/>
      <c r="AA622" s="548"/>
      <c r="AB622" s="548"/>
      <c r="AC622" s="548"/>
      <c r="AD622" s="548"/>
      <c r="AE622" s="548"/>
      <c r="AF622" s="548"/>
      <c r="AG622" s="548"/>
      <c r="AH622" s="548"/>
      <c r="AI622" s="548"/>
      <c r="AJ622" s="548"/>
      <c r="AK622" s="548"/>
      <c r="AL622" s="548"/>
      <c r="AM622" s="548"/>
      <c r="AN622" s="548"/>
      <c r="AO622" s="548"/>
      <c r="AP622" s="548"/>
      <c r="AQ622" s="548"/>
      <c r="AR622" s="548"/>
      <c r="AS622" s="548"/>
      <c r="AT622" s="548"/>
      <c r="AU622" s="548"/>
      <c r="AV622" s="548"/>
      <c r="AW622" s="548"/>
      <c r="AX622" s="548"/>
      <c r="AY622" s="548"/>
    </row>
    <row r="623" spans="1:51">
      <c r="M623" s="436"/>
      <c r="N623" s="436"/>
      <c r="O623" s="436"/>
      <c r="P623" s="436"/>
      <c r="Q623" s="436"/>
      <c r="R623" s="436"/>
      <c r="S623" s="436"/>
      <c r="T623" s="436"/>
      <c r="U623" s="436"/>
      <c r="V623" s="436"/>
      <c r="W623" s="436"/>
      <c r="X623" s="436"/>
      <c r="Y623" s="436"/>
      <c r="Z623" s="436"/>
      <c r="AA623" s="436"/>
      <c r="AB623" s="436"/>
      <c r="AC623" s="436"/>
      <c r="AD623" s="436"/>
      <c r="AE623" s="436"/>
      <c r="AF623" s="436"/>
      <c r="AG623" s="436"/>
      <c r="AH623" s="436"/>
      <c r="AI623" s="436"/>
      <c r="AJ623" s="436"/>
      <c r="AK623" s="436"/>
      <c r="AL623" s="436"/>
      <c r="AM623" s="436"/>
      <c r="AN623" s="436"/>
      <c r="AO623" s="436"/>
      <c r="AP623" s="436"/>
      <c r="AQ623" s="436"/>
      <c r="AR623" s="436"/>
      <c r="AS623" s="436"/>
      <c r="AT623" s="436"/>
      <c r="AU623" s="436"/>
      <c r="AV623" s="436"/>
      <c r="AW623" s="436"/>
      <c r="AX623" s="436"/>
      <c r="AY623" s="436"/>
    </row>
    <row r="624" spans="1:51">
      <c r="M624" s="436"/>
      <c r="N624" s="436"/>
      <c r="O624" s="436"/>
      <c r="P624" s="436"/>
      <c r="Q624" s="436"/>
      <c r="R624" s="436"/>
      <c r="S624" s="436"/>
      <c r="T624" s="436"/>
      <c r="U624" s="436"/>
      <c r="V624" s="436"/>
      <c r="W624" s="436"/>
      <c r="X624" s="436"/>
      <c r="Y624" s="436"/>
      <c r="Z624" s="436"/>
      <c r="AA624" s="436"/>
      <c r="AB624" s="436"/>
      <c r="AC624" s="436"/>
      <c r="AD624" s="436"/>
      <c r="AE624" s="436"/>
      <c r="AF624" s="436"/>
      <c r="AG624" s="436"/>
      <c r="AH624" s="436"/>
      <c r="AI624" s="436"/>
      <c r="AJ624" s="436"/>
      <c r="AK624" s="436"/>
      <c r="AL624" s="436"/>
      <c r="AM624" s="436"/>
      <c r="AN624" s="436"/>
      <c r="AO624" s="436"/>
      <c r="AP624" s="436"/>
      <c r="AQ624" s="436"/>
      <c r="AR624" s="436"/>
      <c r="AS624" s="436"/>
      <c r="AT624" s="436"/>
      <c r="AU624" s="436"/>
      <c r="AV624" s="436"/>
      <c r="AW624" s="436"/>
      <c r="AX624" s="436"/>
      <c r="AY624" s="436"/>
    </row>
    <row r="625" spans="13:51">
      <c r="M625" s="436"/>
      <c r="N625" s="436"/>
      <c r="O625" s="436"/>
      <c r="P625" s="436"/>
      <c r="Q625" s="436"/>
      <c r="R625" s="436"/>
      <c r="S625" s="436"/>
      <c r="T625" s="436"/>
      <c r="U625" s="436"/>
      <c r="V625" s="436"/>
      <c r="W625" s="436"/>
      <c r="X625" s="436"/>
      <c r="Y625" s="436"/>
      <c r="Z625" s="436"/>
      <c r="AA625" s="436"/>
      <c r="AB625" s="436"/>
      <c r="AC625" s="436"/>
      <c r="AD625" s="436"/>
      <c r="AE625" s="436"/>
      <c r="AF625" s="436"/>
      <c r="AG625" s="436"/>
      <c r="AH625" s="436"/>
      <c r="AI625" s="436"/>
      <c r="AJ625" s="436"/>
      <c r="AK625" s="436"/>
      <c r="AL625" s="436"/>
      <c r="AM625" s="436"/>
      <c r="AN625" s="436"/>
      <c r="AO625" s="436"/>
      <c r="AP625" s="436"/>
      <c r="AQ625" s="436"/>
      <c r="AR625" s="436"/>
      <c r="AS625" s="436"/>
      <c r="AT625" s="436"/>
      <c r="AU625" s="436"/>
      <c r="AV625" s="436"/>
      <c r="AW625" s="436"/>
      <c r="AX625" s="436"/>
      <c r="AY625" s="436"/>
    </row>
    <row r="626" spans="13:51">
      <c r="M626" s="436"/>
      <c r="N626" s="436"/>
      <c r="O626" s="436"/>
      <c r="P626" s="436"/>
      <c r="Q626" s="436"/>
      <c r="R626" s="436"/>
      <c r="S626" s="436"/>
      <c r="T626" s="436"/>
      <c r="U626" s="436"/>
      <c r="V626" s="436"/>
      <c r="W626" s="436"/>
      <c r="X626" s="436"/>
      <c r="Y626" s="436"/>
      <c r="Z626" s="436"/>
      <c r="AA626" s="436"/>
      <c r="AB626" s="436"/>
      <c r="AC626" s="436"/>
      <c r="AD626" s="436"/>
      <c r="AE626" s="436"/>
      <c r="AF626" s="436"/>
      <c r="AG626" s="436"/>
      <c r="AH626" s="436"/>
      <c r="AI626" s="436"/>
      <c r="AJ626" s="436"/>
      <c r="AK626" s="436"/>
      <c r="AL626" s="436"/>
      <c r="AM626" s="436"/>
      <c r="AN626" s="436"/>
      <c r="AO626" s="436"/>
      <c r="AP626" s="436"/>
      <c r="AQ626" s="436"/>
      <c r="AR626" s="436"/>
      <c r="AS626" s="436"/>
      <c r="AT626" s="436"/>
      <c r="AU626" s="436"/>
      <c r="AV626" s="436"/>
      <c r="AW626" s="436"/>
      <c r="AX626" s="436"/>
      <c r="AY626" s="436"/>
    </row>
    <row r="627" spans="13:51">
      <c r="M627" s="436"/>
      <c r="N627" s="436"/>
      <c r="O627" s="436"/>
      <c r="P627" s="436"/>
      <c r="Q627" s="436"/>
      <c r="R627" s="436"/>
      <c r="S627" s="436"/>
      <c r="T627" s="436"/>
      <c r="U627" s="436"/>
      <c r="V627" s="436"/>
      <c r="W627" s="436"/>
      <c r="X627" s="436"/>
      <c r="Y627" s="436"/>
      <c r="Z627" s="436"/>
      <c r="AA627" s="436"/>
      <c r="AB627" s="436"/>
      <c r="AC627" s="436"/>
      <c r="AD627" s="436"/>
      <c r="AE627" s="436"/>
      <c r="AF627" s="436"/>
      <c r="AG627" s="436"/>
      <c r="AH627" s="436"/>
      <c r="AI627" s="436"/>
      <c r="AJ627" s="436"/>
      <c r="AK627" s="436"/>
      <c r="AL627" s="436"/>
      <c r="AM627" s="436"/>
      <c r="AN627" s="436"/>
      <c r="AO627" s="436"/>
      <c r="AP627" s="436"/>
      <c r="AQ627" s="436"/>
      <c r="AR627" s="436"/>
      <c r="AS627" s="436"/>
      <c r="AT627" s="436"/>
      <c r="AU627" s="436"/>
      <c r="AV627" s="436"/>
      <c r="AW627" s="436"/>
      <c r="AX627" s="436"/>
      <c r="AY627" s="436"/>
    </row>
    <row r="628" spans="13:51">
      <c r="M628" s="436"/>
      <c r="N628" s="436"/>
      <c r="O628" s="436"/>
      <c r="P628" s="436"/>
      <c r="Q628" s="436"/>
      <c r="R628" s="436"/>
      <c r="S628" s="436"/>
      <c r="T628" s="436"/>
      <c r="U628" s="436"/>
      <c r="V628" s="436"/>
      <c r="W628" s="436"/>
      <c r="X628" s="436"/>
      <c r="Y628" s="436"/>
      <c r="Z628" s="436"/>
      <c r="AA628" s="436"/>
      <c r="AB628" s="436"/>
      <c r="AC628" s="436"/>
      <c r="AD628" s="436"/>
      <c r="AE628" s="436"/>
      <c r="AF628" s="436"/>
      <c r="AG628" s="436"/>
      <c r="AH628" s="436"/>
      <c r="AI628" s="436"/>
      <c r="AJ628" s="436"/>
      <c r="AK628" s="436"/>
      <c r="AL628" s="436"/>
      <c r="AM628" s="436"/>
      <c r="AN628" s="436"/>
      <c r="AO628" s="436"/>
      <c r="AP628" s="436"/>
      <c r="AQ628" s="436"/>
      <c r="AR628" s="436"/>
      <c r="AS628" s="436"/>
      <c r="AT628" s="436"/>
      <c r="AU628" s="436"/>
      <c r="AV628" s="436"/>
      <c r="AW628" s="436"/>
      <c r="AX628" s="436"/>
      <c r="AY628" s="436"/>
    </row>
    <row r="629" spans="13:51">
      <c r="M629" s="436"/>
      <c r="N629" s="436"/>
      <c r="O629" s="436"/>
      <c r="P629" s="436"/>
      <c r="Q629" s="436"/>
      <c r="R629" s="436"/>
      <c r="S629" s="436"/>
      <c r="T629" s="436"/>
      <c r="U629" s="436"/>
      <c r="V629" s="436"/>
      <c r="W629" s="436"/>
      <c r="X629" s="436"/>
      <c r="Y629" s="436"/>
      <c r="Z629" s="436"/>
      <c r="AA629" s="436"/>
      <c r="AB629" s="436"/>
      <c r="AC629" s="436"/>
      <c r="AD629" s="436"/>
      <c r="AE629" s="436"/>
      <c r="AF629" s="436"/>
      <c r="AG629" s="436"/>
      <c r="AH629" s="436"/>
      <c r="AI629" s="436"/>
      <c r="AJ629" s="436"/>
      <c r="AK629" s="436"/>
      <c r="AL629" s="436"/>
      <c r="AM629" s="436"/>
      <c r="AN629" s="436"/>
      <c r="AO629" s="436"/>
      <c r="AP629" s="436"/>
      <c r="AQ629" s="436"/>
      <c r="AR629" s="436"/>
      <c r="AS629" s="436"/>
      <c r="AT629" s="436"/>
      <c r="AU629" s="436"/>
      <c r="AV629" s="436"/>
      <c r="AW629" s="436"/>
      <c r="AX629" s="436"/>
      <c r="AY629" s="436"/>
    </row>
    <row r="630" spans="13:51">
      <c r="M630" s="436"/>
      <c r="N630" s="436"/>
      <c r="O630" s="436"/>
      <c r="P630" s="436"/>
      <c r="Q630" s="436"/>
      <c r="R630" s="436"/>
      <c r="S630" s="436"/>
      <c r="T630" s="436"/>
      <c r="U630" s="436"/>
      <c r="V630" s="436"/>
      <c r="W630" s="436"/>
      <c r="X630" s="436"/>
      <c r="Y630" s="436"/>
      <c r="Z630" s="436"/>
      <c r="AA630" s="436"/>
      <c r="AB630" s="436"/>
      <c r="AC630" s="436"/>
      <c r="AD630" s="436"/>
      <c r="AE630" s="436"/>
      <c r="AF630" s="436"/>
      <c r="AG630" s="436"/>
      <c r="AH630" s="436"/>
      <c r="AI630" s="436"/>
      <c r="AJ630" s="436"/>
      <c r="AK630" s="436"/>
      <c r="AL630" s="436"/>
      <c r="AM630" s="436"/>
      <c r="AN630" s="436"/>
      <c r="AO630" s="436"/>
      <c r="AP630" s="436"/>
      <c r="AQ630" s="436"/>
      <c r="AR630" s="436"/>
      <c r="AS630" s="436"/>
      <c r="AT630" s="436"/>
      <c r="AU630" s="436"/>
      <c r="AV630" s="436"/>
      <c r="AW630" s="436"/>
      <c r="AX630" s="436"/>
      <c r="AY630" s="436"/>
    </row>
    <row r="631" spans="13:51">
      <c r="M631" s="436"/>
      <c r="N631" s="436"/>
      <c r="O631" s="436"/>
      <c r="P631" s="436"/>
      <c r="Q631" s="436"/>
      <c r="R631" s="436"/>
      <c r="S631" s="436"/>
      <c r="T631" s="436"/>
      <c r="U631" s="436"/>
      <c r="V631" s="436"/>
      <c r="W631" s="436"/>
      <c r="X631" s="436"/>
      <c r="Y631" s="436"/>
      <c r="Z631" s="436"/>
      <c r="AA631" s="436"/>
      <c r="AB631" s="436"/>
      <c r="AC631" s="436"/>
      <c r="AD631" s="436"/>
      <c r="AE631" s="436"/>
      <c r="AF631" s="436"/>
      <c r="AG631" s="436"/>
      <c r="AH631" s="436"/>
      <c r="AI631" s="436"/>
      <c r="AJ631" s="436"/>
      <c r="AK631" s="436"/>
      <c r="AL631" s="436"/>
      <c r="AM631" s="436"/>
      <c r="AN631" s="436"/>
      <c r="AO631" s="436"/>
      <c r="AP631" s="436"/>
      <c r="AQ631" s="436"/>
      <c r="AR631" s="436"/>
      <c r="AS631" s="436"/>
      <c r="AT631" s="436"/>
      <c r="AU631" s="436"/>
      <c r="AV631" s="436"/>
      <c r="AW631" s="436"/>
      <c r="AX631" s="436"/>
      <c r="AY631" s="436"/>
    </row>
    <row r="632" spans="13:51">
      <c r="M632" s="436"/>
      <c r="N632" s="436"/>
      <c r="O632" s="436"/>
      <c r="P632" s="436"/>
      <c r="Q632" s="436"/>
      <c r="R632" s="436"/>
      <c r="S632" s="436"/>
      <c r="T632" s="436"/>
      <c r="U632" s="436"/>
      <c r="V632" s="436"/>
      <c r="W632" s="436"/>
      <c r="X632" s="436"/>
      <c r="Y632" s="436"/>
      <c r="Z632" s="436"/>
      <c r="AA632" s="436"/>
      <c r="AB632" s="436"/>
      <c r="AC632" s="436"/>
      <c r="AD632" s="436"/>
      <c r="AE632" s="436"/>
      <c r="AF632" s="436"/>
      <c r="AG632" s="436"/>
      <c r="AH632" s="436"/>
      <c r="AI632" s="436"/>
      <c r="AJ632" s="436"/>
      <c r="AK632" s="436"/>
      <c r="AL632" s="436"/>
      <c r="AM632" s="436"/>
      <c r="AN632" s="436"/>
      <c r="AO632" s="436"/>
      <c r="AP632" s="436"/>
      <c r="AQ632" s="436"/>
      <c r="AR632" s="436"/>
      <c r="AS632" s="436"/>
      <c r="AT632" s="436"/>
      <c r="AU632" s="436"/>
      <c r="AV632" s="436"/>
      <c r="AW632" s="436"/>
      <c r="AX632" s="436"/>
      <c r="AY632" s="436"/>
    </row>
    <row r="633" spans="13:51">
      <c r="M633" s="436"/>
      <c r="N633" s="436"/>
      <c r="O633" s="436"/>
      <c r="P633" s="436"/>
      <c r="Q633" s="436"/>
      <c r="R633" s="436"/>
      <c r="S633" s="436"/>
      <c r="T633" s="436"/>
      <c r="U633" s="436"/>
      <c r="V633" s="436"/>
      <c r="W633" s="436"/>
      <c r="X633" s="436"/>
      <c r="Y633" s="436"/>
      <c r="Z633" s="436"/>
      <c r="AA633" s="436"/>
      <c r="AB633" s="436"/>
      <c r="AC633" s="436"/>
      <c r="AD633" s="436"/>
      <c r="AE633" s="436"/>
      <c r="AF633" s="436"/>
      <c r="AG633" s="436"/>
      <c r="AH633" s="436"/>
      <c r="AI633" s="436"/>
      <c r="AJ633" s="436"/>
      <c r="AK633" s="436"/>
      <c r="AL633" s="436"/>
      <c r="AM633" s="436"/>
      <c r="AN633" s="436"/>
      <c r="AO633" s="436"/>
      <c r="AP633" s="436"/>
      <c r="AQ633" s="436"/>
      <c r="AR633" s="436"/>
      <c r="AS633" s="436"/>
      <c r="AT633" s="436"/>
      <c r="AU633" s="436"/>
      <c r="AV633" s="436"/>
      <c r="AW633" s="436"/>
      <c r="AX633" s="436"/>
      <c r="AY633" s="436"/>
    </row>
    <row r="634" spans="13:51">
      <c r="M634" s="436"/>
      <c r="N634" s="436"/>
      <c r="O634" s="436"/>
      <c r="P634" s="436"/>
      <c r="Q634" s="436"/>
      <c r="R634" s="436"/>
      <c r="S634" s="436"/>
      <c r="T634" s="436"/>
      <c r="U634" s="436"/>
      <c r="V634" s="436"/>
      <c r="W634" s="436"/>
      <c r="X634" s="436"/>
      <c r="Y634" s="436"/>
      <c r="Z634" s="436"/>
      <c r="AA634" s="436"/>
      <c r="AB634" s="436"/>
      <c r="AC634" s="436"/>
      <c r="AD634" s="436"/>
      <c r="AE634" s="436"/>
      <c r="AF634" s="436"/>
      <c r="AG634" s="436"/>
      <c r="AH634" s="436"/>
      <c r="AI634" s="436"/>
      <c r="AJ634" s="436"/>
      <c r="AK634" s="436"/>
      <c r="AL634" s="436"/>
      <c r="AM634" s="436"/>
      <c r="AN634" s="436"/>
      <c r="AO634" s="436"/>
      <c r="AP634" s="436"/>
      <c r="AQ634" s="436"/>
      <c r="AR634" s="436"/>
      <c r="AS634" s="436"/>
      <c r="AT634" s="436"/>
      <c r="AU634" s="436"/>
      <c r="AV634" s="436"/>
      <c r="AW634" s="436"/>
      <c r="AX634" s="436"/>
      <c r="AY634" s="436"/>
    </row>
    <row r="635" spans="13:51">
      <c r="M635" s="436"/>
      <c r="N635" s="436"/>
      <c r="O635" s="436"/>
      <c r="P635" s="436"/>
      <c r="Q635" s="436"/>
      <c r="R635" s="436"/>
      <c r="S635" s="436"/>
      <c r="T635" s="436"/>
      <c r="U635" s="436"/>
      <c r="V635" s="436"/>
      <c r="W635" s="436"/>
      <c r="X635" s="436"/>
      <c r="Y635" s="436"/>
      <c r="Z635" s="436"/>
      <c r="AA635" s="436"/>
      <c r="AB635" s="436"/>
      <c r="AC635" s="436"/>
      <c r="AD635" s="436"/>
      <c r="AE635" s="436"/>
      <c r="AF635" s="436"/>
      <c r="AG635" s="436"/>
      <c r="AH635" s="436"/>
      <c r="AI635" s="436"/>
      <c r="AJ635" s="436"/>
      <c r="AK635" s="436"/>
      <c r="AL635" s="436"/>
      <c r="AM635" s="436"/>
      <c r="AN635" s="436"/>
      <c r="AO635" s="436"/>
      <c r="AP635" s="436"/>
      <c r="AQ635" s="436"/>
      <c r="AR635" s="436"/>
      <c r="AS635" s="436"/>
      <c r="AT635" s="436"/>
      <c r="AU635" s="436"/>
      <c r="AV635" s="436"/>
      <c r="AW635" s="436"/>
      <c r="AX635" s="436"/>
      <c r="AY635" s="436"/>
    </row>
    <row r="636" spans="13:51">
      <c r="M636" s="436"/>
      <c r="N636" s="436"/>
      <c r="O636" s="436"/>
      <c r="P636" s="436"/>
      <c r="Q636" s="436"/>
      <c r="R636" s="436"/>
      <c r="S636" s="436"/>
      <c r="T636" s="436"/>
      <c r="U636" s="436"/>
      <c r="V636" s="436"/>
      <c r="W636" s="436"/>
      <c r="X636" s="436"/>
      <c r="Y636" s="436"/>
      <c r="Z636" s="436"/>
      <c r="AA636" s="436"/>
      <c r="AB636" s="436"/>
      <c r="AC636" s="436"/>
      <c r="AD636" s="436"/>
      <c r="AE636" s="436"/>
      <c r="AF636" s="436"/>
      <c r="AG636" s="436"/>
      <c r="AH636" s="436"/>
      <c r="AI636" s="436"/>
      <c r="AJ636" s="436"/>
      <c r="AK636" s="436"/>
      <c r="AL636" s="436"/>
      <c r="AM636" s="436"/>
      <c r="AN636" s="436"/>
      <c r="AO636" s="436"/>
      <c r="AP636" s="436"/>
      <c r="AQ636" s="436"/>
      <c r="AR636" s="436"/>
      <c r="AS636" s="436"/>
      <c r="AT636" s="436"/>
      <c r="AU636" s="436"/>
      <c r="AV636" s="436"/>
      <c r="AW636" s="436"/>
      <c r="AX636" s="436"/>
      <c r="AY636" s="436"/>
    </row>
    <row r="637" spans="13:51">
      <c r="M637" s="436"/>
      <c r="N637" s="436"/>
      <c r="O637" s="436"/>
      <c r="P637" s="436"/>
      <c r="Q637" s="436"/>
      <c r="R637" s="436"/>
      <c r="S637" s="436"/>
      <c r="T637" s="436"/>
      <c r="U637" s="436"/>
      <c r="V637" s="436"/>
      <c r="W637" s="436"/>
      <c r="X637" s="436"/>
      <c r="Y637" s="436"/>
      <c r="Z637" s="436"/>
      <c r="AA637" s="436"/>
      <c r="AB637" s="436"/>
      <c r="AC637" s="436"/>
      <c r="AD637" s="436"/>
      <c r="AE637" s="436"/>
      <c r="AF637" s="436"/>
      <c r="AG637" s="436"/>
      <c r="AH637" s="436"/>
      <c r="AI637" s="436"/>
      <c r="AJ637" s="436"/>
      <c r="AK637" s="436"/>
      <c r="AL637" s="436"/>
      <c r="AM637" s="436"/>
      <c r="AN637" s="436"/>
      <c r="AO637" s="436"/>
      <c r="AP637" s="436"/>
      <c r="AQ637" s="436"/>
      <c r="AR637" s="436"/>
      <c r="AS637" s="436"/>
      <c r="AT637" s="436"/>
      <c r="AU637" s="436"/>
      <c r="AV637" s="436"/>
      <c r="AW637" s="436"/>
      <c r="AX637" s="436"/>
      <c r="AY637" s="436"/>
    </row>
    <row r="638" spans="13:51">
      <c r="M638" s="436"/>
      <c r="N638" s="436"/>
      <c r="O638" s="436"/>
      <c r="P638" s="436"/>
      <c r="Q638" s="436"/>
      <c r="R638" s="436"/>
      <c r="S638" s="436"/>
      <c r="T638" s="436"/>
      <c r="U638" s="436"/>
      <c r="V638" s="436"/>
      <c r="W638" s="436"/>
      <c r="X638" s="436"/>
      <c r="Y638" s="436"/>
      <c r="Z638" s="436"/>
      <c r="AA638" s="436"/>
      <c r="AB638" s="436"/>
      <c r="AC638" s="436"/>
      <c r="AD638" s="436"/>
      <c r="AE638" s="436"/>
      <c r="AF638" s="436"/>
      <c r="AG638" s="436"/>
      <c r="AH638" s="436"/>
      <c r="AI638" s="436"/>
      <c r="AJ638" s="436"/>
      <c r="AK638" s="436"/>
      <c r="AL638" s="436"/>
      <c r="AM638" s="436"/>
      <c r="AN638" s="436"/>
      <c r="AO638" s="436"/>
      <c r="AP638" s="436"/>
      <c r="AQ638" s="436"/>
      <c r="AR638" s="436"/>
      <c r="AS638" s="436"/>
      <c r="AT638" s="436"/>
      <c r="AU638" s="436"/>
      <c r="AV638" s="436"/>
      <c r="AW638" s="436"/>
      <c r="AX638" s="436"/>
      <c r="AY638" s="436"/>
    </row>
    <row r="639" spans="13:51">
      <c r="M639" s="436"/>
      <c r="N639" s="436"/>
      <c r="O639" s="436"/>
      <c r="P639" s="436"/>
      <c r="Q639" s="436"/>
      <c r="R639" s="436"/>
      <c r="S639" s="436"/>
      <c r="T639" s="436"/>
      <c r="U639" s="436"/>
      <c r="V639" s="436"/>
      <c r="W639" s="436"/>
      <c r="X639" s="436"/>
      <c r="Y639" s="436"/>
      <c r="Z639" s="436"/>
      <c r="AA639" s="436"/>
      <c r="AB639" s="436"/>
      <c r="AC639" s="436"/>
      <c r="AD639" s="436"/>
      <c r="AE639" s="436"/>
      <c r="AF639" s="436"/>
      <c r="AG639" s="436"/>
      <c r="AH639" s="436"/>
      <c r="AI639" s="436"/>
      <c r="AJ639" s="436"/>
      <c r="AK639" s="436"/>
      <c r="AL639" s="436"/>
      <c r="AM639" s="436"/>
      <c r="AN639" s="436"/>
      <c r="AO639" s="436"/>
      <c r="AP639" s="436"/>
      <c r="AQ639" s="436"/>
      <c r="AR639" s="436"/>
      <c r="AS639" s="436"/>
      <c r="AT639" s="436"/>
      <c r="AU639" s="436"/>
      <c r="AV639" s="436"/>
      <c r="AW639" s="436"/>
      <c r="AX639" s="436"/>
      <c r="AY639" s="436"/>
    </row>
    <row r="640" spans="13:51">
      <c r="M640" s="436"/>
      <c r="N640" s="436"/>
      <c r="O640" s="436"/>
      <c r="P640" s="436"/>
      <c r="Q640" s="436"/>
      <c r="R640" s="436"/>
      <c r="S640" s="436"/>
      <c r="T640" s="436"/>
      <c r="U640" s="436"/>
      <c r="V640" s="436"/>
      <c r="W640" s="436"/>
      <c r="X640" s="436"/>
      <c r="Y640" s="436"/>
      <c r="Z640" s="436"/>
      <c r="AA640" s="436"/>
      <c r="AB640" s="436"/>
      <c r="AC640" s="436"/>
      <c r="AD640" s="436"/>
      <c r="AE640" s="436"/>
      <c r="AF640" s="436"/>
      <c r="AG640" s="436"/>
      <c r="AH640" s="436"/>
      <c r="AI640" s="436"/>
      <c r="AJ640" s="436"/>
      <c r="AK640" s="436"/>
      <c r="AL640" s="436"/>
      <c r="AM640" s="436"/>
      <c r="AN640" s="436"/>
      <c r="AO640" s="436"/>
      <c r="AP640" s="436"/>
      <c r="AQ640" s="436"/>
      <c r="AR640" s="436"/>
      <c r="AS640" s="436"/>
      <c r="AT640" s="436"/>
      <c r="AU640" s="436"/>
      <c r="AV640" s="436"/>
      <c r="AW640" s="436"/>
      <c r="AX640" s="436"/>
      <c r="AY640" s="436"/>
    </row>
  </sheetData>
  <autoFilter ref="A1:O621">
    <sortState ref="A2:O621">
      <sortCondition ref="A1:A621"/>
    </sortState>
  </autoFilter>
  <phoneticPr fontId="28" type="noConversion"/>
  <dataValidations count="1">
    <dataValidation type="list" allowBlank="1" showInputMessage="1" showErrorMessage="1" sqref="C599 C583:C597"/>
  </dataValidation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97"/>
  <sheetViews>
    <sheetView topLeftCell="A753" zoomScale="85" zoomScaleNormal="85" workbookViewId="0">
      <selection activeCell="C761" sqref="C761"/>
    </sheetView>
  </sheetViews>
  <sheetFormatPr baseColWidth="10" defaultColWidth="8.69921875" defaultRowHeight="13.8"/>
  <cols>
    <col min="1" max="1" width="16.09765625" customWidth="1"/>
    <col min="2" max="2" width="78.69921875" customWidth="1"/>
    <col min="3" max="3" width="23.3984375" customWidth="1"/>
    <col min="4" max="7" width="17.09765625" style="71" customWidth="1"/>
    <col min="8" max="9" width="17.09765625" customWidth="1"/>
    <col min="10" max="10" width="13.69921875" customWidth="1"/>
  </cols>
  <sheetData>
    <row r="1" spans="1:11" ht="15.6">
      <c r="A1" s="137"/>
      <c r="B1" s="138"/>
      <c r="C1" s="139" t="s">
        <v>444</v>
      </c>
      <c r="D1" s="138"/>
      <c r="E1" s="140"/>
      <c r="F1" s="140"/>
      <c r="G1" s="140"/>
      <c r="H1" s="141"/>
      <c r="I1" s="138"/>
      <c r="J1" s="138"/>
      <c r="K1" s="138"/>
    </row>
    <row r="2" spans="1:11" ht="15.6">
      <c r="A2" s="137"/>
      <c r="B2" s="138"/>
      <c r="C2" s="138"/>
      <c r="D2" s="138"/>
      <c r="E2" s="140"/>
      <c r="F2" s="140"/>
      <c r="G2" s="140"/>
      <c r="H2" s="141"/>
      <c r="I2" s="138"/>
      <c r="J2" s="138"/>
      <c r="K2" s="138"/>
    </row>
    <row r="3" spans="1:11" ht="15.6">
      <c r="A3" s="142" t="s">
        <v>0</v>
      </c>
      <c r="B3" s="143" t="s">
        <v>445</v>
      </c>
      <c r="C3" s="143" t="s">
        <v>446</v>
      </c>
      <c r="D3" s="143" t="s">
        <v>447</v>
      </c>
      <c r="E3" s="144" t="s">
        <v>448</v>
      </c>
      <c r="F3" s="144" t="s">
        <v>449</v>
      </c>
      <c r="G3" s="144"/>
      <c r="H3" s="220" t="s">
        <v>30</v>
      </c>
      <c r="I3" s="143" t="s">
        <v>450</v>
      </c>
      <c r="J3" s="143" t="s">
        <v>451</v>
      </c>
      <c r="K3" s="145"/>
    </row>
    <row r="4" spans="1:11" ht="15.6">
      <c r="A4" s="175">
        <v>45870</v>
      </c>
      <c r="B4" s="232" t="s">
        <v>2882</v>
      </c>
      <c r="C4" s="182"/>
      <c r="D4" s="182"/>
      <c r="E4" s="185"/>
      <c r="F4" s="185"/>
      <c r="G4" s="185"/>
      <c r="H4" s="186">
        <v>-154354</v>
      </c>
      <c r="I4" s="187" t="s">
        <v>153</v>
      </c>
      <c r="J4" s="182"/>
      <c r="K4" s="188"/>
    </row>
    <row r="5" spans="1:11" ht="15.6">
      <c r="A5" s="456">
        <v>45870</v>
      </c>
      <c r="B5" s="457" t="s">
        <v>2445</v>
      </c>
      <c r="C5" s="458" t="s">
        <v>174</v>
      </c>
      <c r="D5" s="459" t="s">
        <v>119</v>
      </c>
      <c r="E5" s="457"/>
      <c r="F5" s="457">
        <v>1000</v>
      </c>
      <c r="G5" s="185"/>
      <c r="H5" s="313">
        <f>H4+E5-F5</f>
        <v>-155354</v>
      </c>
      <c r="I5" s="465" t="s">
        <v>153</v>
      </c>
      <c r="J5" s="466" t="s">
        <v>2494</v>
      </c>
      <c r="K5" s="188"/>
    </row>
    <row r="6" spans="1:11" ht="15.6">
      <c r="A6" s="456">
        <v>45870</v>
      </c>
      <c r="B6" s="457" t="s">
        <v>2100</v>
      </c>
      <c r="C6" s="458" t="s">
        <v>174</v>
      </c>
      <c r="D6" s="459" t="s">
        <v>119</v>
      </c>
      <c r="E6" s="457"/>
      <c r="F6" s="457">
        <v>1000</v>
      </c>
      <c r="G6" s="185"/>
      <c r="H6" s="313">
        <f t="shared" ref="H6:H62" si="0">H5+E6-F6</f>
        <v>-156354</v>
      </c>
      <c r="I6" s="465" t="s">
        <v>153</v>
      </c>
      <c r="J6" s="466" t="s">
        <v>2494</v>
      </c>
      <c r="K6" s="188"/>
    </row>
    <row r="7" spans="1:11" ht="15.6">
      <c r="A7" s="460">
        <v>45873</v>
      </c>
      <c r="B7" s="457" t="s">
        <v>2099</v>
      </c>
      <c r="C7" s="458" t="s">
        <v>174</v>
      </c>
      <c r="D7" s="459" t="s">
        <v>119</v>
      </c>
      <c r="E7" s="457"/>
      <c r="F7" s="457">
        <v>1000</v>
      </c>
      <c r="G7" s="185"/>
      <c r="H7" s="313">
        <f t="shared" si="0"/>
        <v>-157354</v>
      </c>
      <c r="I7" s="465" t="s">
        <v>153</v>
      </c>
      <c r="J7" s="466" t="s">
        <v>2494</v>
      </c>
      <c r="K7" s="188"/>
    </row>
    <row r="8" spans="1:11" ht="15.6">
      <c r="A8" s="460">
        <v>45873</v>
      </c>
      <c r="B8" s="457" t="s">
        <v>2446</v>
      </c>
      <c r="C8" s="458" t="s">
        <v>174</v>
      </c>
      <c r="D8" s="459" t="s">
        <v>119</v>
      </c>
      <c r="E8" s="457"/>
      <c r="F8" s="457">
        <v>1000</v>
      </c>
      <c r="G8" s="185"/>
      <c r="H8" s="313">
        <f t="shared" si="0"/>
        <v>-158354</v>
      </c>
      <c r="I8" s="465" t="s">
        <v>153</v>
      </c>
      <c r="J8" s="466" t="s">
        <v>2494</v>
      </c>
      <c r="K8" s="188"/>
    </row>
    <row r="9" spans="1:11" ht="15.6">
      <c r="A9" s="460">
        <v>45874</v>
      </c>
      <c r="B9" s="457" t="s">
        <v>2099</v>
      </c>
      <c r="C9" s="458" t="s">
        <v>174</v>
      </c>
      <c r="D9" s="459" t="s">
        <v>119</v>
      </c>
      <c r="E9" s="457"/>
      <c r="F9" s="457">
        <v>1000</v>
      </c>
      <c r="G9" s="185"/>
      <c r="H9" s="313">
        <f t="shared" si="0"/>
        <v>-159354</v>
      </c>
      <c r="I9" s="465" t="s">
        <v>153</v>
      </c>
      <c r="J9" s="466" t="s">
        <v>2494</v>
      </c>
      <c r="K9" s="188"/>
    </row>
    <row r="10" spans="1:11" ht="15.6">
      <c r="A10" s="460">
        <v>45874</v>
      </c>
      <c r="B10" s="457" t="s">
        <v>2100</v>
      </c>
      <c r="C10" s="458" t="s">
        <v>174</v>
      </c>
      <c r="D10" s="459" t="s">
        <v>119</v>
      </c>
      <c r="E10" s="457"/>
      <c r="F10" s="457">
        <v>1000</v>
      </c>
      <c r="G10" s="185"/>
      <c r="H10" s="313">
        <f t="shared" si="0"/>
        <v>-160354</v>
      </c>
      <c r="I10" s="465" t="s">
        <v>153</v>
      </c>
      <c r="J10" s="466" t="s">
        <v>2494</v>
      </c>
      <c r="K10" s="188"/>
    </row>
    <row r="11" spans="1:11" ht="15.6">
      <c r="A11" s="460">
        <v>45875</v>
      </c>
      <c r="B11" s="457" t="s">
        <v>2099</v>
      </c>
      <c r="C11" s="458" t="s">
        <v>174</v>
      </c>
      <c r="D11" s="459" t="s">
        <v>119</v>
      </c>
      <c r="E11" s="457"/>
      <c r="F11" s="457">
        <v>1000</v>
      </c>
      <c r="G11" s="185"/>
      <c r="H11" s="313">
        <f t="shared" si="0"/>
        <v>-161354</v>
      </c>
      <c r="I11" s="465" t="s">
        <v>153</v>
      </c>
      <c r="J11" s="466" t="s">
        <v>2494</v>
      </c>
      <c r="K11" s="188"/>
    </row>
    <row r="12" spans="1:11" ht="15.6">
      <c r="A12" s="460">
        <v>45875</v>
      </c>
      <c r="B12" s="457" t="s">
        <v>2100</v>
      </c>
      <c r="C12" s="458" t="s">
        <v>174</v>
      </c>
      <c r="D12" s="459" t="s">
        <v>119</v>
      </c>
      <c r="E12" s="457"/>
      <c r="F12" s="457">
        <v>1000</v>
      </c>
      <c r="G12" s="185"/>
      <c r="H12" s="313">
        <f t="shared" si="0"/>
        <v>-162354</v>
      </c>
      <c r="I12" s="465" t="s">
        <v>153</v>
      </c>
      <c r="J12" s="466" t="s">
        <v>2494</v>
      </c>
      <c r="K12" s="188"/>
    </row>
    <row r="13" spans="1:11" ht="15.6">
      <c r="A13" s="460">
        <v>45876</v>
      </c>
      <c r="B13" s="457" t="s">
        <v>2102</v>
      </c>
      <c r="C13" s="458" t="s">
        <v>174</v>
      </c>
      <c r="D13" s="459" t="s">
        <v>119</v>
      </c>
      <c r="E13" s="457"/>
      <c r="F13" s="457">
        <v>1000</v>
      </c>
      <c r="G13" s="185"/>
      <c r="H13" s="313">
        <f t="shared" si="0"/>
        <v>-163354</v>
      </c>
      <c r="I13" s="465" t="s">
        <v>153</v>
      </c>
      <c r="J13" s="466" t="s">
        <v>2494</v>
      </c>
      <c r="K13" s="188"/>
    </row>
    <row r="14" spans="1:11" ht="15.6">
      <c r="A14" s="460">
        <v>45876</v>
      </c>
      <c r="B14" s="457" t="s">
        <v>2100</v>
      </c>
      <c r="C14" s="458" t="s">
        <v>174</v>
      </c>
      <c r="D14" s="459" t="s">
        <v>119</v>
      </c>
      <c r="E14" s="457"/>
      <c r="F14" s="457">
        <v>1000</v>
      </c>
      <c r="G14" s="185"/>
      <c r="H14" s="313">
        <f t="shared" si="0"/>
        <v>-164354</v>
      </c>
      <c r="I14" s="465" t="s">
        <v>153</v>
      </c>
      <c r="J14" s="466" t="s">
        <v>2494</v>
      </c>
      <c r="K14" s="188"/>
    </row>
    <row r="15" spans="1:11" ht="15.6">
      <c r="A15" s="460">
        <v>45876</v>
      </c>
      <c r="B15" s="457" t="s">
        <v>2447</v>
      </c>
      <c r="C15" s="458" t="s">
        <v>127</v>
      </c>
      <c r="D15" s="459" t="s">
        <v>119</v>
      </c>
      <c r="E15" s="457"/>
      <c r="F15" s="457">
        <v>174625</v>
      </c>
      <c r="G15" s="185"/>
      <c r="H15" s="313">
        <f t="shared" si="0"/>
        <v>-338979</v>
      </c>
      <c r="I15" s="465" t="s">
        <v>153</v>
      </c>
      <c r="J15" s="466" t="s">
        <v>2495</v>
      </c>
      <c r="K15" s="188"/>
    </row>
    <row r="16" spans="1:11" ht="15.6">
      <c r="A16" s="460">
        <v>45877</v>
      </c>
      <c r="B16" s="457" t="s">
        <v>2099</v>
      </c>
      <c r="C16" s="458" t="s">
        <v>174</v>
      </c>
      <c r="D16" s="459" t="s">
        <v>119</v>
      </c>
      <c r="E16" s="457"/>
      <c r="F16" s="457">
        <v>1000</v>
      </c>
      <c r="G16" s="185"/>
      <c r="H16" s="313">
        <f t="shared" si="0"/>
        <v>-339979</v>
      </c>
      <c r="I16" s="465" t="s">
        <v>153</v>
      </c>
      <c r="J16" s="466" t="s">
        <v>2494</v>
      </c>
      <c r="K16" s="188"/>
    </row>
    <row r="17" spans="1:11" ht="15.6">
      <c r="A17" s="460">
        <v>45877</v>
      </c>
      <c r="B17" s="457" t="s">
        <v>2100</v>
      </c>
      <c r="C17" s="458" t="s">
        <v>174</v>
      </c>
      <c r="D17" s="459" t="s">
        <v>119</v>
      </c>
      <c r="E17" s="457"/>
      <c r="F17" s="457">
        <v>1000</v>
      </c>
      <c r="G17" s="185"/>
      <c r="H17" s="313">
        <f t="shared" si="0"/>
        <v>-340979</v>
      </c>
      <c r="I17" s="465" t="s">
        <v>153</v>
      </c>
      <c r="J17" s="466" t="s">
        <v>2494</v>
      </c>
      <c r="K17" s="188"/>
    </row>
    <row r="18" spans="1:11" ht="15.6">
      <c r="A18" s="460">
        <v>45880</v>
      </c>
      <c r="B18" s="457" t="s">
        <v>2099</v>
      </c>
      <c r="C18" s="458" t="s">
        <v>174</v>
      </c>
      <c r="D18" s="459" t="s">
        <v>119</v>
      </c>
      <c r="E18" s="457"/>
      <c r="F18" s="457">
        <v>1000</v>
      </c>
      <c r="G18" s="185"/>
      <c r="H18" s="313">
        <f t="shared" si="0"/>
        <v>-341979</v>
      </c>
      <c r="I18" s="465" t="s">
        <v>153</v>
      </c>
      <c r="J18" s="466" t="s">
        <v>2494</v>
      </c>
      <c r="K18" s="188"/>
    </row>
    <row r="19" spans="1:11" ht="15.6">
      <c r="A19" s="460">
        <v>45880</v>
      </c>
      <c r="B19" s="457" t="s">
        <v>2100</v>
      </c>
      <c r="C19" s="458" t="s">
        <v>174</v>
      </c>
      <c r="D19" s="459" t="s">
        <v>119</v>
      </c>
      <c r="E19" s="457"/>
      <c r="F19" s="457">
        <v>1000</v>
      </c>
      <c r="G19" s="185"/>
      <c r="H19" s="313">
        <f t="shared" si="0"/>
        <v>-342979</v>
      </c>
      <c r="I19" s="465" t="s">
        <v>153</v>
      </c>
      <c r="J19" s="466" t="s">
        <v>2494</v>
      </c>
      <c r="K19" s="188"/>
    </row>
    <row r="20" spans="1:11" ht="15.6">
      <c r="A20" s="460">
        <v>45881</v>
      </c>
      <c r="B20" s="457" t="s">
        <v>2099</v>
      </c>
      <c r="C20" s="458" t="s">
        <v>174</v>
      </c>
      <c r="D20" s="459" t="s">
        <v>119</v>
      </c>
      <c r="E20" s="457"/>
      <c r="F20" s="457">
        <v>1000</v>
      </c>
      <c r="G20" s="185"/>
      <c r="H20" s="313">
        <f t="shared" si="0"/>
        <v>-343979</v>
      </c>
      <c r="I20" s="465" t="s">
        <v>153</v>
      </c>
      <c r="J20" s="466" t="s">
        <v>2494</v>
      </c>
      <c r="K20" s="188"/>
    </row>
    <row r="21" spans="1:11" ht="15.6">
      <c r="A21" s="460">
        <v>45881</v>
      </c>
      <c r="B21" s="457" t="s">
        <v>2100</v>
      </c>
      <c r="C21" s="458" t="s">
        <v>174</v>
      </c>
      <c r="D21" s="459" t="s">
        <v>119</v>
      </c>
      <c r="E21" s="457"/>
      <c r="F21" s="457">
        <v>1000</v>
      </c>
      <c r="G21" s="185"/>
      <c r="H21" s="313">
        <f t="shared" si="0"/>
        <v>-344979</v>
      </c>
      <c r="I21" s="465" t="s">
        <v>153</v>
      </c>
      <c r="J21" s="466" t="s">
        <v>2494</v>
      </c>
      <c r="K21" s="188"/>
    </row>
    <row r="22" spans="1:11" ht="15.6">
      <c r="A22" s="460">
        <v>45882</v>
      </c>
      <c r="B22" s="457" t="s">
        <v>2099</v>
      </c>
      <c r="C22" s="458" t="s">
        <v>174</v>
      </c>
      <c r="D22" s="459" t="s">
        <v>119</v>
      </c>
      <c r="E22" s="457"/>
      <c r="F22" s="457">
        <v>1000</v>
      </c>
      <c r="G22" s="185"/>
      <c r="H22" s="313">
        <f t="shared" si="0"/>
        <v>-345979</v>
      </c>
      <c r="I22" s="465" t="s">
        <v>153</v>
      </c>
      <c r="J22" s="466" t="s">
        <v>2494</v>
      </c>
      <c r="K22" s="188"/>
    </row>
    <row r="23" spans="1:11" ht="15.6">
      <c r="A23" s="460">
        <v>45882</v>
      </c>
      <c r="B23" s="457" t="s">
        <v>2448</v>
      </c>
      <c r="C23" s="458" t="s">
        <v>124</v>
      </c>
      <c r="D23" s="459" t="s">
        <v>119</v>
      </c>
      <c r="E23" s="457"/>
      <c r="F23" s="457">
        <v>350000</v>
      </c>
      <c r="G23" s="185"/>
      <c r="H23" s="313">
        <f t="shared" si="0"/>
        <v>-695979</v>
      </c>
      <c r="I23" s="465" t="s">
        <v>153</v>
      </c>
      <c r="J23" s="466" t="s">
        <v>2496</v>
      </c>
      <c r="K23" s="188"/>
    </row>
    <row r="24" spans="1:11" ht="15.6">
      <c r="A24" s="460">
        <v>45882</v>
      </c>
      <c r="B24" s="457" t="s">
        <v>2100</v>
      </c>
      <c r="C24" s="458" t="s">
        <v>174</v>
      </c>
      <c r="D24" s="459" t="s">
        <v>119</v>
      </c>
      <c r="E24" s="457"/>
      <c r="F24" s="457">
        <v>1000</v>
      </c>
      <c r="G24" s="185"/>
      <c r="H24" s="313">
        <f t="shared" si="0"/>
        <v>-696979</v>
      </c>
      <c r="I24" s="465" t="s">
        <v>153</v>
      </c>
      <c r="J24" s="466" t="s">
        <v>2494</v>
      </c>
      <c r="K24" s="188"/>
    </row>
    <row r="25" spans="1:11" ht="15.6">
      <c r="A25" s="460">
        <v>45883</v>
      </c>
      <c r="B25" s="457" t="s">
        <v>2100</v>
      </c>
      <c r="C25" s="458" t="s">
        <v>174</v>
      </c>
      <c r="D25" s="459" t="s">
        <v>119</v>
      </c>
      <c r="E25" s="457"/>
      <c r="F25" s="457">
        <v>1000</v>
      </c>
      <c r="G25" s="185"/>
      <c r="H25" s="313">
        <f t="shared" si="0"/>
        <v>-697979</v>
      </c>
      <c r="I25" s="465" t="s">
        <v>153</v>
      </c>
      <c r="J25" s="466" t="s">
        <v>2494</v>
      </c>
      <c r="K25" s="188"/>
    </row>
    <row r="26" spans="1:11" ht="15.6">
      <c r="A26" s="460">
        <v>45883</v>
      </c>
      <c r="B26" s="457" t="s">
        <v>2449</v>
      </c>
      <c r="C26" s="458" t="s">
        <v>986</v>
      </c>
      <c r="D26" s="459" t="s">
        <v>119</v>
      </c>
      <c r="E26" s="457">
        <v>720000</v>
      </c>
      <c r="F26" s="457"/>
      <c r="G26" s="185"/>
      <c r="H26" s="313">
        <f t="shared" si="0"/>
        <v>22021</v>
      </c>
      <c r="I26" s="465" t="s">
        <v>153</v>
      </c>
      <c r="J26" s="466" t="s">
        <v>2497</v>
      </c>
      <c r="K26" s="188"/>
    </row>
    <row r="27" spans="1:11" ht="15.6">
      <c r="A27" s="460">
        <v>45887</v>
      </c>
      <c r="B27" s="457" t="s">
        <v>2099</v>
      </c>
      <c r="C27" s="458" t="s">
        <v>174</v>
      </c>
      <c r="D27" s="459" t="s">
        <v>119</v>
      </c>
      <c r="E27" s="457"/>
      <c r="F27" s="457">
        <v>1000</v>
      </c>
      <c r="G27" s="185"/>
      <c r="H27" s="313">
        <f t="shared" si="0"/>
        <v>21021</v>
      </c>
      <c r="I27" s="465" t="s">
        <v>153</v>
      </c>
      <c r="J27" s="466" t="s">
        <v>2494</v>
      </c>
      <c r="K27" s="188"/>
    </row>
    <row r="28" spans="1:11" ht="15.6">
      <c r="A28" s="460">
        <v>45887</v>
      </c>
      <c r="B28" s="457" t="s">
        <v>2108</v>
      </c>
      <c r="C28" s="458" t="s">
        <v>174</v>
      </c>
      <c r="D28" s="459" t="s">
        <v>119</v>
      </c>
      <c r="E28" s="457"/>
      <c r="F28" s="457">
        <v>1000</v>
      </c>
      <c r="G28" s="185"/>
      <c r="H28" s="313">
        <f t="shared" si="0"/>
        <v>20021</v>
      </c>
      <c r="I28" s="465" t="s">
        <v>153</v>
      </c>
      <c r="J28" s="466" t="s">
        <v>2494</v>
      </c>
      <c r="K28" s="188"/>
    </row>
    <row r="29" spans="1:11" ht="15.6">
      <c r="A29" s="460">
        <v>45887</v>
      </c>
      <c r="B29" s="457" t="s">
        <v>2109</v>
      </c>
      <c r="C29" s="458" t="s">
        <v>174</v>
      </c>
      <c r="D29" s="459" t="s">
        <v>119</v>
      </c>
      <c r="E29" s="457"/>
      <c r="F29" s="457">
        <v>1000</v>
      </c>
      <c r="G29" s="185"/>
      <c r="H29" s="313">
        <f t="shared" si="0"/>
        <v>19021</v>
      </c>
      <c r="I29" s="465" t="s">
        <v>153</v>
      </c>
      <c r="J29" s="466" t="s">
        <v>2494</v>
      </c>
      <c r="K29" s="188"/>
    </row>
    <row r="30" spans="1:11" ht="15.6">
      <c r="A30" s="460">
        <v>45887</v>
      </c>
      <c r="B30" s="457" t="s">
        <v>2100</v>
      </c>
      <c r="C30" s="458" t="s">
        <v>174</v>
      </c>
      <c r="D30" s="459" t="s">
        <v>119</v>
      </c>
      <c r="E30" s="457"/>
      <c r="F30" s="457">
        <v>1000</v>
      </c>
      <c r="G30" s="185"/>
      <c r="H30" s="313">
        <f t="shared" si="0"/>
        <v>18021</v>
      </c>
      <c r="I30" s="465" t="s">
        <v>153</v>
      </c>
      <c r="J30" s="466" t="s">
        <v>2494</v>
      </c>
      <c r="K30" s="188"/>
    </row>
    <row r="31" spans="1:11" ht="15.6">
      <c r="A31" s="460">
        <v>45887</v>
      </c>
      <c r="B31" s="457" t="s">
        <v>2450</v>
      </c>
      <c r="C31" s="458" t="s">
        <v>152</v>
      </c>
      <c r="D31" s="459" t="s">
        <v>119</v>
      </c>
      <c r="E31" s="457">
        <v>15000</v>
      </c>
      <c r="F31" s="457"/>
      <c r="G31" s="185"/>
      <c r="H31" s="313">
        <f t="shared" si="0"/>
        <v>33021</v>
      </c>
      <c r="I31" s="465" t="s">
        <v>153</v>
      </c>
      <c r="J31" s="466" t="s">
        <v>2498</v>
      </c>
      <c r="K31" s="188"/>
    </row>
    <row r="32" spans="1:11" ht="15.6">
      <c r="A32" s="460">
        <v>45887</v>
      </c>
      <c r="B32" s="457" t="s">
        <v>2450</v>
      </c>
      <c r="C32" s="458" t="s">
        <v>152</v>
      </c>
      <c r="D32" s="459" t="s">
        <v>119</v>
      </c>
      <c r="E32" s="457"/>
      <c r="F32" s="457">
        <v>15000</v>
      </c>
      <c r="G32" s="185"/>
      <c r="H32" s="313">
        <f t="shared" si="0"/>
        <v>18021</v>
      </c>
      <c r="I32" s="465" t="s">
        <v>153</v>
      </c>
      <c r="J32" s="466" t="s">
        <v>2498</v>
      </c>
      <c r="K32" s="188"/>
    </row>
    <row r="33" spans="1:11" ht="15.6">
      <c r="A33" s="460">
        <v>45887</v>
      </c>
      <c r="B33" s="129" t="s">
        <v>2374</v>
      </c>
      <c r="C33" s="129" t="s">
        <v>127</v>
      </c>
      <c r="D33" s="129" t="s">
        <v>119</v>
      </c>
      <c r="E33" s="457">
        <v>300000</v>
      </c>
      <c r="F33" s="457"/>
      <c r="G33" s="185"/>
      <c r="H33" s="313">
        <f t="shared" si="0"/>
        <v>318021</v>
      </c>
      <c r="I33" s="76" t="s">
        <v>153</v>
      </c>
      <c r="J33" s="129" t="s">
        <v>2375</v>
      </c>
      <c r="K33" s="188"/>
    </row>
    <row r="34" spans="1:11" ht="15.6">
      <c r="A34" s="460">
        <v>45887</v>
      </c>
      <c r="B34" s="129" t="s">
        <v>2374</v>
      </c>
      <c r="C34" s="458" t="s">
        <v>127</v>
      </c>
      <c r="D34" s="459" t="s">
        <v>119</v>
      </c>
      <c r="E34" s="457"/>
      <c r="F34" s="457">
        <v>300000</v>
      </c>
      <c r="G34" s="185"/>
      <c r="H34" s="313">
        <f t="shared" si="0"/>
        <v>18021</v>
      </c>
      <c r="I34" s="76" t="s">
        <v>153</v>
      </c>
      <c r="J34" s="129" t="s">
        <v>2375</v>
      </c>
      <c r="K34" s="188"/>
    </row>
    <row r="35" spans="1:11" ht="15.6">
      <c r="A35" s="460">
        <v>45888</v>
      </c>
      <c r="B35" s="457" t="s">
        <v>2099</v>
      </c>
      <c r="C35" s="458" t="s">
        <v>174</v>
      </c>
      <c r="D35" s="459" t="s">
        <v>119</v>
      </c>
      <c r="E35" s="457"/>
      <c r="F35" s="457">
        <v>1000</v>
      </c>
      <c r="G35" s="185"/>
      <c r="H35" s="313">
        <f t="shared" si="0"/>
        <v>17021</v>
      </c>
      <c r="I35" s="465" t="s">
        <v>153</v>
      </c>
      <c r="J35" s="466" t="s">
        <v>2494</v>
      </c>
      <c r="K35" s="188"/>
    </row>
    <row r="36" spans="1:11" s="436" customFormat="1" ht="15.6">
      <c r="A36" s="460">
        <v>45888</v>
      </c>
      <c r="B36" s="457" t="s">
        <v>2108</v>
      </c>
      <c r="C36" s="458" t="s">
        <v>174</v>
      </c>
      <c r="D36" s="459" t="s">
        <v>119</v>
      </c>
      <c r="E36" s="457"/>
      <c r="F36" s="457">
        <v>1000</v>
      </c>
      <c r="G36" s="185"/>
      <c r="H36" s="313">
        <f t="shared" si="0"/>
        <v>16021</v>
      </c>
      <c r="I36" s="465" t="s">
        <v>153</v>
      </c>
      <c r="J36" s="466" t="s">
        <v>2494</v>
      </c>
      <c r="K36" s="188"/>
    </row>
    <row r="37" spans="1:11" s="436" customFormat="1" ht="15.6">
      <c r="A37" s="460">
        <v>45888</v>
      </c>
      <c r="B37" s="457" t="s">
        <v>2109</v>
      </c>
      <c r="C37" s="458" t="s">
        <v>174</v>
      </c>
      <c r="D37" s="459" t="s">
        <v>119</v>
      </c>
      <c r="E37" s="457"/>
      <c r="F37" s="457">
        <v>1000</v>
      </c>
      <c r="G37" s="185"/>
      <c r="H37" s="313">
        <f t="shared" si="0"/>
        <v>15021</v>
      </c>
      <c r="I37" s="465" t="s">
        <v>153</v>
      </c>
      <c r="J37" s="466" t="s">
        <v>2494</v>
      </c>
      <c r="K37" s="188"/>
    </row>
    <row r="38" spans="1:11" ht="15.6">
      <c r="A38" s="460">
        <v>45888</v>
      </c>
      <c r="B38" s="457" t="s">
        <v>2100</v>
      </c>
      <c r="C38" s="458" t="s">
        <v>174</v>
      </c>
      <c r="D38" s="459" t="s">
        <v>119</v>
      </c>
      <c r="E38" s="457"/>
      <c r="F38" s="457">
        <v>1000</v>
      </c>
      <c r="G38" s="185"/>
      <c r="H38" s="313">
        <f t="shared" si="0"/>
        <v>14021</v>
      </c>
      <c r="I38" s="465" t="s">
        <v>153</v>
      </c>
      <c r="J38" s="466" t="s">
        <v>2494</v>
      </c>
      <c r="K38" s="188"/>
    </row>
    <row r="39" spans="1:11" ht="15.6">
      <c r="A39" s="460">
        <v>45889</v>
      </c>
      <c r="B39" s="457" t="s">
        <v>2099</v>
      </c>
      <c r="C39" s="458" t="s">
        <v>174</v>
      </c>
      <c r="D39" s="459" t="s">
        <v>119</v>
      </c>
      <c r="E39" s="457"/>
      <c r="F39" s="457">
        <v>1000</v>
      </c>
      <c r="G39" s="185"/>
      <c r="H39" s="313">
        <f t="shared" si="0"/>
        <v>13021</v>
      </c>
      <c r="I39" s="465" t="s">
        <v>153</v>
      </c>
      <c r="J39" s="466" t="s">
        <v>2494</v>
      </c>
      <c r="K39" s="188"/>
    </row>
    <row r="40" spans="1:11" ht="15.6">
      <c r="A40" s="460">
        <v>45889</v>
      </c>
      <c r="B40" s="457" t="s">
        <v>2100</v>
      </c>
      <c r="C40" s="458" t="s">
        <v>174</v>
      </c>
      <c r="D40" s="459" t="s">
        <v>119</v>
      </c>
      <c r="E40" s="457"/>
      <c r="F40" s="457">
        <v>1000</v>
      </c>
      <c r="G40" s="185"/>
      <c r="H40" s="313">
        <f t="shared" si="0"/>
        <v>12021</v>
      </c>
      <c r="I40" s="465" t="s">
        <v>153</v>
      </c>
      <c r="J40" s="466" t="s">
        <v>2494</v>
      </c>
      <c r="K40" s="188"/>
    </row>
    <row r="41" spans="1:11" ht="15.6">
      <c r="A41" s="460">
        <v>45890</v>
      </c>
      <c r="B41" s="457" t="s">
        <v>2099</v>
      </c>
      <c r="C41" s="458" t="s">
        <v>174</v>
      </c>
      <c r="D41" s="459" t="s">
        <v>119</v>
      </c>
      <c r="E41" s="457"/>
      <c r="F41" s="457">
        <v>1000</v>
      </c>
      <c r="G41" s="185"/>
      <c r="H41" s="313">
        <f t="shared" si="0"/>
        <v>11021</v>
      </c>
      <c r="I41" s="465" t="s">
        <v>153</v>
      </c>
      <c r="J41" s="466" t="s">
        <v>2494</v>
      </c>
      <c r="K41" s="188"/>
    </row>
    <row r="42" spans="1:11" ht="15.6">
      <c r="A42" s="460">
        <v>45890</v>
      </c>
      <c r="B42" s="457" t="s">
        <v>2100</v>
      </c>
      <c r="C42" s="458" t="s">
        <v>174</v>
      </c>
      <c r="D42" s="459" t="s">
        <v>119</v>
      </c>
      <c r="E42" s="457"/>
      <c r="F42" s="457">
        <v>1000</v>
      </c>
      <c r="G42" s="185"/>
      <c r="H42" s="313">
        <f t="shared" si="0"/>
        <v>10021</v>
      </c>
      <c r="I42" s="465" t="s">
        <v>153</v>
      </c>
      <c r="J42" s="466" t="s">
        <v>2494</v>
      </c>
      <c r="K42" s="188"/>
    </row>
    <row r="43" spans="1:11" ht="15.6">
      <c r="A43" s="460">
        <v>45891</v>
      </c>
      <c r="B43" s="457" t="s">
        <v>2099</v>
      </c>
      <c r="C43" s="458" t="s">
        <v>174</v>
      </c>
      <c r="D43" s="459" t="s">
        <v>119</v>
      </c>
      <c r="E43" s="457"/>
      <c r="F43" s="457">
        <v>1000</v>
      </c>
      <c r="G43" s="185"/>
      <c r="H43" s="313">
        <f t="shared" si="0"/>
        <v>9021</v>
      </c>
      <c r="I43" s="465" t="s">
        <v>153</v>
      </c>
      <c r="J43" s="466" t="s">
        <v>2494</v>
      </c>
      <c r="K43" s="188"/>
    </row>
    <row r="44" spans="1:11" ht="15.6">
      <c r="A44" s="460">
        <v>45891</v>
      </c>
      <c r="B44" s="457" t="s">
        <v>2446</v>
      </c>
      <c r="C44" s="458" t="s">
        <v>174</v>
      </c>
      <c r="D44" s="459" t="s">
        <v>119</v>
      </c>
      <c r="E44" s="457"/>
      <c r="F44" s="457">
        <v>1000</v>
      </c>
      <c r="G44" s="185"/>
      <c r="H44" s="313">
        <f t="shared" si="0"/>
        <v>8021</v>
      </c>
      <c r="I44" s="465" t="s">
        <v>153</v>
      </c>
      <c r="J44" s="466" t="s">
        <v>2494</v>
      </c>
      <c r="K44" s="188"/>
    </row>
    <row r="45" spans="1:11" ht="15.6">
      <c r="A45" s="460">
        <v>45892</v>
      </c>
      <c r="B45" s="457" t="s">
        <v>2099</v>
      </c>
      <c r="C45" s="458" t="s">
        <v>174</v>
      </c>
      <c r="D45" s="459" t="s">
        <v>119</v>
      </c>
      <c r="E45" s="457"/>
      <c r="F45" s="457">
        <v>1000</v>
      </c>
      <c r="G45" s="185"/>
      <c r="H45" s="313">
        <f t="shared" si="0"/>
        <v>7021</v>
      </c>
      <c r="I45" s="465" t="s">
        <v>153</v>
      </c>
      <c r="J45" s="466" t="s">
        <v>2494</v>
      </c>
      <c r="K45" s="188"/>
    </row>
    <row r="46" spans="1:11" ht="15.6">
      <c r="A46" s="460">
        <v>45892</v>
      </c>
      <c r="B46" s="457" t="s">
        <v>2100</v>
      </c>
      <c r="C46" s="458" t="s">
        <v>174</v>
      </c>
      <c r="D46" s="459" t="s">
        <v>119</v>
      </c>
      <c r="E46" s="457"/>
      <c r="F46" s="457">
        <v>1000</v>
      </c>
      <c r="G46" s="185"/>
      <c r="H46" s="313">
        <f t="shared" si="0"/>
        <v>6021</v>
      </c>
      <c r="I46" s="465" t="s">
        <v>153</v>
      </c>
      <c r="J46" s="466" t="s">
        <v>2494</v>
      </c>
      <c r="K46" s="188"/>
    </row>
    <row r="47" spans="1:11" ht="15.6">
      <c r="A47" s="460">
        <v>45893</v>
      </c>
      <c r="B47" s="457" t="s">
        <v>2099</v>
      </c>
      <c r="C47" s="458" t="s">
        <v>174</v>
      </c>
      <c r="D47" s="459" t="s">
        <v>119</v>
      </c>
      <c r="E47" s="457"/>
      <c r="F47" s="457">
        <v>1000</v>
      </c>
      <c r="G47" s="185"/>
      <c r="H47" s="313">
        <f t="shared" si="0"/>
        <v>5021</v>
      </c>
      <c r="I47" s="465" t="s">
        <v>153</v>
      </c>
      <c r="J47" s="466" t="s">
        <v>2494</v>
      </c>
      <c r="K47" s="188"/>
    </row>
    <row r="48" spans="1:11" ht="15.6">
      <c r="A48" s="460">
        <v>45893</v>
      </c>
      <c r="B48" s="457" t="s">
        <v>2100</v>
      </c>
      <c r="C48" s="458" t="s">
        <v>174</v>
      </c>
      <c r="D48" s="459" t="s">
        <v>119</v>
      </c>
      <c r="E48" s="457"/>
      <c r="F48" s="457">
        <v>1000</v>
      </c>
      <c r="G48" s="185"/>
      <c r="H48" s="313">
        <f t="shared" si="0"/>
        <v>4021</v>
      </c>
      <c r="I48" s="465" t="s">
        <v>153</v>
      </c>
      <c r="J48" s="466" t="s">
        <v>2494</v>
      </c>
      <c r="K48" s="188"/>
    </row>
    <row r="49" spans="1:11" ht="15.6">
      <c r="A49" s="460">
        <v>45894</v>
      </c>
      <c r="B49" s="457" t="s">
        <v>2099</v>
      </c>
      <c r="C49" s="458" t="s">
        <v>174</v>
      </c>
      <c r="D49" s="459" t="s">
        <v>119</v>
      </c>
      <c r="E49" s="457"/>
      <c r="F49" s="457">
        <v>1000</v>
      </c>
      <c r="G49" s="185"/>
      <c r="H49" s="313">
        <f t="shared" si="0"/>
        <v>3021</v>
      </c>
      <c r="I49" s="465" t="s">
        <v>153</v>
      </c>
      <c r="J49" s="466" t="s">
        <v>2494</v>
      </c>
      <c r="K49" s="188"/>
    </row>
    <row r="50" spans="1:11" ht="15.6">
      <c r="A50" s="460">
        <v>45894</v>
      </c>
      <c r="B50" s="457" t="s">
        <v>2100</v>
      </c>
      <c r="C50" s="458" t="s">
        <v>174</v>
      </c>
      <c r="D50" s="459" t="s">
        <v>119</v>
      </c>
      <c r="E50" s="457"/>
      <c r="F50" s="457">
        <v>1000</v>
      </c>
      <c r="G50" s="185"/>
      <c r="H50" s="313">
        <f t="shared" si="0"/>
        <v>2021</v>
      </c>
      <c r="I50" s="465" t="s">
        <v>153</v>
      </c>
      <c r="J50" s="466" t="s">
        <v>2494</v>
      </c>
      <c r="K50" s="188"/>
    </row>
    <row r="51" spans="1:11" ht="15.6">
      <c r="A51" s="460">
        <v>45895</v>
      </c>
      <c r="B51" s="457" t="s">
        <v>2099</v>
      </c>
      <c r="C51" s="458" t="s">
        <v>174</v>
      </c>
      <c r="D51" s="459" t="s">
        <v>119</v>
      </c>
      <c r="E51" s="457"/>
      <c r="F51" s="457">
        <v>1000</v>
      </c>
      <c r="G51" s="185"/>
      <c r="H51" s="313">
        <f t="shared" si="0"/>
        <v>1021</v>
      </c>
      <c r="I51" s="465" t="s">
        <v>153</v>
      </c>
      <c r="J51" s="466" t="s">
        <v>2494</v>
      </c>
      <c r="K51" s="188"/>
    </row>
    <row r="52" spans="1:11" ht="15.6">
      <c r="A52" s="460">
        <v>45895</v>
      </c>
      <c r="B52" s="457" t="s">
        <v>2100</v>
      </c>
      <c r="C52" s="458" t="s">
        <v>174</v>
      </c>
      <c r="D52" s="459" t="s">
        <v>119</v>
      </c>
      <c r="E52" s="457"/>
      <c r="F52" s="457">
        <v>1000</v>
      </c>
      <c r="G52" s="185"/>
      <c r="H52" s="313">
        <f t="shared" si="0"/>
        <v>21</v>
      </c>
      <c r="I52" s="465" t="s">
        <v>153</v>
      </c>
      <c r="J52" s="466" t="s">
        <v>2494</v>
      </c>
      <c r="K52" s="188"/>
    </row>
    <row r="53" spans="1:11" ht="15.6">
      <c r="A53" s="460">
        <v>45896</v>
      </c>
      <c r="B53" s="457" t="s">
        <v>2099</v>
      </c>
      <c r="C53" s="458" t="s">
        <v>174</v>
      </c>
      <c r="D53" s="459" t="s">
        <v>119</v>
      </c>
      <c r="E53" s="457"/>
      <c r="F53" s="457">
        <v>1000</v>
      </c>
      <c r="G53" s="185"/>
      <c r="H53" s="313">
        <f t="shared" si="0"/>
        <v>-979</v>
      </c>
      <c r="I53" s="465" t="s">
        <v>153</v>
      </c>
      <c r="J53" s="466" t="s">
        <v>2494</v>
      </c>
      <c r="K53" s="188"/>
    </row>
    <row r="54" spans="1:11" ht="15.6">
      <c r="A54" s="460">
        <v>45896</v>
      </c>
      <c r="B54" s="457" t="s">
        <v>2100</v>
      </c>
      <c r="C54" s="458" t="s">
        <v>174</v>
      </c>
      <c r="D54" s="459" t="s">
        <v>119</v>
      </c>
      <c r="E54" s="457"/>
      <c r="F54" s="457">
        <v>1000</v>
      </c>
      <c r="G54" s="185"/>
      <c r="H54" s="313">
        <f t="shared" si="0"/>
        <v>-1979</v>
      </c>
      <c r="I54" s="465" t="s">
        <v>153</v>
      </c>
      <c r="J54" s="466" t="s">
        <v>2494</v>
      </c>
      <c r="K54" s="188"/>
    </row>
    <row r="55" spans="1:11" ht="15.6">
      <c r="A55" s="460">
        <v>45897</v>
      </c>
      <c r="B55" s="457" t="s">
        <v>2099</v>
      </c>
      <c r="C55" s="458" t="s">
        <v>174</v>
      </c>
      <c r="D55" s="459" t="s">
        <v>119</v>
      </c>
      <c r="E55" s="457"/>
      <c r="F55" s="457">
        <v>1000</v>
      </c>
      <c r="G55" s="185"/>
      <c r="H55" s="313">
        <f t="shared" si="0"/>
        <v>-2979</v>
      </c>
      <c r="I55" s="465" t="s">
        <v>153</v>
      </c>
      <c r="J55" s="466" t="s">
        <v>2494</v>
      </c>
      <c r="K55" s="188"/>
    </row>
    <row r="56" spans="1:11" ht="15.6">
      <c r="A56" s="460">
        <v>45897</v>
      </c>
      <c r="B56" s="457" t="s">
        <v>2108</v>
      </c>
      <c r="C56" s="458" t="s">
        <v>174</v>
      </c>
      <c r="D56" s="459" t="s">
        <v>119</v>
      </c>
      <c r="E56" s="457"/>
      <c r="F56" s="457">
        <v>1000</v>
      </c>
      <c r="G56" s="185"/>
      <c r="H56" s="313">
        <f t="shared" si="0"/>
        <v>-3979</v>
      </c>
      <c r="I56" s="465" t="s">
        <v>153</v>
      </c>
      <c r="J56" s="466" t="s">
        <v>2494</v>
      </c>
      <c r="K56" s="188"/>
    </row>
    <row r="57" spans="1:11" ht="15.6">
      <c r="A57" s="460">
        <v>45897</v>
      </c>
      <c r="B57" s="457" t="s">
        <v>2109</v>
      </c>
      <c r="C57" s="458" t="s">
        <v>174</v>
      </c>
      <c r="D57" s="459" t="s">
        <v>119</v>
      </c>
      <c r="E57" s="457"/>
      <c r="F57" s="457">
        <v>1000</v>
      </c>
      <c r="G57" s="185"/>
      <c r="H57" s="313">
        <f t="shared" si="0"/>
        <v>-4979</v>
      </c>
      <c r="I57" s="465" t="s">
        <v>153</v>
      </c>
      <c r="J57" s="466" t="s">
        <v>2494</v>
      </c>
      <c r="K57" s="188"/>
    </row>
    <row r="58" spans="1:11" ht="15.6">
      <c r="A58" s="460">
        <v>45897</v>
      </c>
      <c r="B58" s="457" t="s">
        <v>2100</v>
      </c>
      <c r="C58" s="458" t="s">
        <v>174</v>
      </c>
      <c r="D58" s="459" t="s">
        <v>119</v>
      </c>
      <c r="E58" s="457"/>
      <c r="F58" s="457">
        <v>1000</v>
      </c>
      <c r="G58" s="185"/>
      <c r="H58" s="313">
        <f t="shared" si="0"/>
        <v>-5979</v>
      </c>
      <c r="I58" s="465" t="s">
        <v>153</v>
      </c>
      <c r="J58" s="466" t="s">
        <v>2494</v>
      </c>
      <c r="K58" s="188"/>
    </row>
    <row r="59" spans="1:11" ht="15.6">
      <c r="A59" s="460">
        <v>45898</v>
      </c>
      <c r="B59" s="457" t="s">
        <v>2103</v>
      </c>
      <c r="C59" s="458" t="s">
        <v>174</v>
      </c>
      <c r="D59" s="459" t="s">
        <v>119</v>
      </c>
      <c r="E59" s="457"/>
      <c r="F59" s="457">
        <v>1000</v>
      </c>
      <c r="G59" s="185"/>
      <c r="H59" s="313">
        <f t="shared" si="0"/>
        <v>-6979</v>
      </c>
      <c r="I59" s="465" t="s">
        <v>153</v>
      </c>
      <c r="J59" s="466" t="s">
        <v>2494</v>
      </c>
      <c r="K59" s="188"/>
    </row>
    <row r="60" spans="1:11" ht="15.6">
      <c r="A60" s="460">
        <v>45898</v>
      </c>
      <c r="B60" s="457" t="s">
        <v>2109</v>
      </c>
      <c r="C60" s="458" t="s">
        <v>174</v>
      </c>
      <c r="D60" s="459" t="s">
        <v>119</v>
      </c>
      <c r="E60" s="457"/>
      <c r="F60" s="457">
        <v>1000</v>
      </c>
      <c r="G60" s="185"/>
      <c r="H60" s="313">
        <f t="shared" si="0"/>
        <v>-7979</v>
      </c>
      <c r="I60" s="465" t="s">
        <v>153</v>
      </c>
      <c r="J60" s="466" t="s">
        <v>2494</v>
      </c>
      <c r="K60" s="188"/>
    </row>
    <row r="61" spans="1:11" ht="15.6">
      <c r="A61" s="460">
        <v>45898</v>
      </c>
      <c r="B61" s="457" t="s">
        <v>2449</v>
      </c>
      <c r="C61" s="458" t="s">
        <v>124</v>
      </c>
      <c r="D61" s="459" t="s">
        <v>119</v>
      </c>
      <c r="E61" s="457">
        <v>20000</v>
      </c>
      <c r="F61" s="457"/>
      <c r="G61" s="185"/>
      <c r="H61" s="313">
        <f t="shared" si="0"/>
        <v>12021</v>
      </c>
      <c r="I61" s="465" t="s">
        <v>153</v>
      </c>
      <c r="J61" s="466" t="s">
        <v>2499</v>
      </c>
      <c r="K61" s="188"/>
    </row>
    <row r="62" spans="1:11" ht="15.6">
      <c r="A62" s="460">
        <v>45898</v>
      </c>
      <c r="B62" s="457" t="s">
        <v>2100</v>
      </c>
      <c r="C62" s="458" t="s">
        <v>174</v>
      </c>
      <c r="D62" s="459" t="s">
        <v>119</v>
      </c>
      <c r="E62" s="457"/>
      <c r="F62" s="457">
        <v>1000</v>
      </c>
      <c r="G62" s="185"/>
      <c r="H62" s="313">
        <f t="shared" si="0"/>
        <v>11021</v>
      </c>
      <c r="I62" s="465" t="s">
        <v>153</v>
      </c>
      <c r="J62" s="466" t="s">
        <v>2494</v>
      </c>
      <c r="K62" s="188"/>
    </row>
    <row r="63" spans="1:11" ht="15.6">
      <c r="A63" s="200"/>
      <c r="B63" s="188"/>
      <c r="C63" s="188"/>
      <c r="D63" s="188"/>
      <c r="E63" s="192">
        <f>SUM(E4:E62)</f>
        <v>1055000</v>
      </c>
      <c r="F63" s="192">
        <f>SUM(F4:F62)</f>
        <v>889625</v>
      </c>
      <c r="G63" s="192"/>
      <c r="H63" s="314">
        <f>+H4+E63-F63</f>
        <v>11021</v>
      </c>
      <c r="I63" s="242"/>
      <c r="J63" s="315"/>
      <c r="K63" s="188"/>
    </row>
    <row r="64" spans="1:11" ht="15.6">
      <c r="A64" s="190"/>
      <c r="B64" s="188"/>
      <c r="C64" s="191" t="s">
        <v>452</v>
      </c>
      <c r="D64" s="188"/>
      <c r="E64" s="192"/>
      <c r="F64" s="192"/>
      <c r="G64" s="192"/>
      <c r="H64" s="193"/>
      <c r="I64" s="188"/>
      <c r="J64" s="315"/>
      <c r="K64" s="188"/>
    </row>
    <row r="65" spans="1:11" ht="15.6">
      <c r="A65" s="190"/>
      <c r="B65" s="188"/>
      <c r="C65" s="191"/>
      <c r="D65" s="188"/>
      <c r="E65" s="192"/>
      <c r="F65" s="192"/>
      <c r="G65" s="192"/>
      <c r="H65" s="193"/>
      <c r="I65" s="188"/>
      <c r="J65" s="188"/>
      <c r="K65" s="188"/>
    </row>
    <row r="66" spans="1:11" ht="15.6">
      <c r="A66" s="194" t="s">
        <v>0</v>
      </c>
      <c r="B66" s="195" t="s">
        <v>445</v>
      </c>
      <c r="C66" s="195" t="s">
        <v>446</v>
      </c>
      <c r="D66" s="195" t="s">
        <v>447</v>
      </c>
      <c r="E66" s="196" t="s">
        <v>448</v>
      </c>
      <c r="F66" s="196" t="s">
        <v>449</v>
      </c>
      <c r="G66" s="196"/>
      <c r="H66" s="197" t="s">
        <v>30</v>
      </c>
      <c r="I66" s="195" t="s">
        <v>450</v>
      </c>
      <c r="J66" s="195" t="s">
        <v>451</v>
      </c>
      <c r="K66" s="198"/>
    </row>
    <row r="67" spans="1:11" ht="15.6">
      <c r="A67" s="176">
        <v>45870</v>
      </c>
      <c r="B67" s="182" t="s">
        <v>2882</v>
      </c>
      <c r="C67" s="182"/>
      <c r="D67" s="182"/>
      <c r="E67" s="185"/>
      <c r="F67" s="185"/>
      <c r="G67" s="185"/>
      <c r="H67" s="186">
        <v>44120</v>
      </c>
      <c r="I67" s="177" t="s">
        <v>200</v>
      </c>
      <c r="J67" s="182"/>
      <c r="K67" s="188"/>
    </row>
    <row r="68" spans="1:11" ht="15.6">
      <c r="A68" s="461">
        <v>45882</v>
      </c>
      <c r="B68" s="219" t="s">
        <v>2451</v>
      </c>
      <c r="C68" s="219" t="s">
        <v>124</v>
      </c>
      <c r="D68" s="440" t="s">
        <v>117</v>
      </c>
      <c r="E68" s="244">
        <v>120000</v>
      </c>
      <c r="F68" s="244"/>
      <c r="G68" s="185"/>
      <c r="H68" s="186">
        <f>H67+E68-F68</f>
        <v>164120</v>
      </c>
      <c r="I68" s="442" t="s">
        <v>200</v>
      </c>
      <c r="J68" s="219" t="s">
        <v>2487</v>
      </c>
      <c r="K68" s="188"/>
    </row>
    <row r="69" spans="1:11" ht="15.6">
      <c r="A69" s="461">
        <v>45883</v>
      </c>
      <c r="B69" s="219" t="s">
        <v>2452</v>
      </c>
      <c r="C69" s="219" t="s">
        <v>174</v>
      </c>
      <c r="D69" s="440" t="s">
        <v>117</v>
      </c>
      <c r="E69" s="244"/>
      <c r="F69" s="244">
        <v>37000</v>
      </c>
      <c r="G69" s="185"/>
      <c r="H69" s="186">
        <f t="shared" ref="H69:H112" si="1">H68+E69-F69</f>
        <v>127120</v>
      </c>
      <c r="I69" s="442" t="s">
        <v>200</v>
      </c>
      <c r="J69" s="219" t="s">
        <v>2488</v>
      </c>
      <c r="K69" s="188"/>
    </row>
    <row r="70" spans="1:11" ht="15.6">
      <c r="A70" s="461">
        <v>45883</v>
      </c>
      <c r="B70" s="219" t="s">
        <v>2453</v>
      </c>
      <c r="C70" s="219" t="s">
        <v>174</v>
      </c>
      <c r="D70" s="440" t="s">
        <v>117</v>
      </c>
      <c r="E70" s="244"/>
      <c r="F70" s="244">
        <v>2000</v>
      </c>
      <c r="G70" s="185"/>
      <c r="H70" s="186">
        <f t="shared" si="1"/>
        <v>125120</v>
      </c>
      <c r="I70" s="442" t="s">
        <v>200</v>
      </c>
      <c r="J70" s="219" t="s">
        <v>2489</v>
      </c>
      <c r="K70" s="188"/>
    </row>
    <row r="71" spans="1:11" ht="15.6">
      <c r="A71" s="461">
        <v>45883</v>
      </c>
      <c r="B71" s="219" t="s">
        <v>2454</v>
      </c>
      <c r="C71" s="219" t="s">
        <v>174</v>
      </c>
      <c r="D71" s="440" t="s">
        <v>117</v>
      </c>
      <c r="E71" s="244"/>
      <c r="F71" s="244">
        <v>500</v>
      </c>
      <c r="G71" s="185"/>
      <c r="H71" s="186">
        <f t="shared" si="1"/>
        <v>124620</v>
      </c>
      <c r="I71" s="442" t="s">
        <v>200</v>
      </c>
      <c r="J71" s="219" t="s">
        <v>2489</v>
      </c>
      <c r="K71" s="188"/>
    </row>
    <row r="72" spans="1:11" ht="15.6">
      <c r="A72" s="462">
        <v>45883</v>
      </c>
      <c r="B72" s="463" t="s">
        <v>2455</v>
      </c>
      <c r="C72" s="463" t="s">
        <v>2456</v>
      </c>
      <c r="D72" s="442" t="s">
        <v>117</v>
      </c>
      <c r="E72" s="464"/>
      <c r="F72" s="464">
        <v>190000</v>
      </c>
      <c r="G72" s="185"/>
      <c r="H72" s="186">
        <f t="shared" si="1"/>
        <v>-65380</v>
      </c>
      <c r="I72" s="442" t="s">
        <v>200</v>
      </c>
      <c r="J72" s="463" t="s">
        <v>2490</v>
      </c>
      <c r="K72" s="188"/>
    </row>
    <row r="73" spans="1:11" ht="15.6">
      <c r="A73" s="462">
        <v>45884</v>
      </c>
      <c r="B73" s="463" t="s">
        <v>2457</v>
      </c>
      <c r="C73" s="463" t="s">
        <v>2456</v>
      </c>
      <c r="D73" s="442" t="s">
        <v>117</v>
      </c>
      <c r="E73" s="464"/>
      <c r="F73" s="464">
        <v>15000</v>
      </c>
      <c r="G73" s="185"/>
      <c r="H73" s="186">
        <f t="shared" si="1"/>
        <v>-80380</v>
      </c>
      <c r="I73" s="442" t="s">
        <v>200</v>
      </c>
      <c r="J73" s="219" t="s">
        <v>2979</v>
      </c>
      <c r="K73" s="188"/>
    </row>
    <row r="74" spans="1:11" ht="15.6">
      <c r="A74" s="461">
        <v>45884</v>
      </c>
      <c r="B74" s="219" t="s">
        <v>2458</v>
      </c>
      <c r="C74" s="219" t="s">
        <v>174</v>
      </c>
      <c r="D74" s="440" t="s">
        <v>117</v>
      </c>
      <c r="E74" s="244"/>
      <c r="F74" s="244">
        <v>500</v>
      </c>
      <c r="G74" s="185"/>
      <c r="H74" s="186">
        <f t="shared" si="1"/>
        <v>-80880</v>
      </c>
      <c r="I74" s="442" t="s">
        <v>200</v>
      </c>
      <c r="J74" s="219" t="s">
        <v>2489</v>
      </c>
      <c r="K74" s="188"/>
    </row>
    <row r="75" spans="1:11" ht="15.6">
      <c r="A75" s="461">
        <v>45884</v>
      </c>
      <c r="B75" s="219" t="s">
        <v>2459</v>
      </c>
      <c r="C75" s="219" t="s">
        <v>174</v>
      </c>
      <c r="D75" s="440" t="s">
        <v>117</v>
      </c>
      <c r="E75" s="244"/>
      <c r="F75" s="244">
        <v>500</v>
      </c>
      <c r="G75" s="185"/>
      <c r="H75" s="186">
        <f t="shared" si="1"/>
        <v>-81380</v>
      </c>
      <c r="I75" s="442" t="s">
        <v>200</v>
      </c>
      <c r="J75" s="219" t="s">
        <v>2489</v>
      </c>
      <c r="K75" s="188"/>
    </row>
    <row r="76" spans="1:11" ht="15.6">
      <c r="A76" s="321">
        <v>45884</v>
      </c>
      <c r="B76" s="184" t="s">
        <v>2460</v>
      </c>
      <c r="C76" s="248" t="s">
        <v>152</v>
      </c>
      <c r="D76" s="248" t="s">
        <v>117</v>
      </c>
      <c r="E76" s="244">
        <v>5000</v>
      </c>
      <c r="F76" s="244"/>
      <c r="G76" s="185"/>
      <c r="H76" s="186">
        <f t="shared" si="1"/>
        <v>-76380</v>
      </c>
      <c r="I76" s="442" t="s">
        <v>200</v>
      </c>
      <c r="J76" s="219" t="s">
        <v>2980</v>
      </c>
      <c r="K76" s="188"/>
    </row>
    <row r="77" spans="1:11" ht="15.6">
      <c r="A77" s="321">
        <v>45884</v>
      </c>
      <c r="B77" s="184" t="s">
        <v>2460</v>
      </c>
      <c r="C77" s="248" t="s">
        <v>152</v>
      </c>
      <c r="D77" s="248" t="s">
        <v>117</v>
      </c>
      <c r="E77" s="244"/>
      <c r="F77" s="244">
        <v>5000</v>
      </c>
      <c r="G77" s="185"/>
      <c r="H77" s="186">
        <f t="shared" si="1"/>
        <v>-81380</v>
      </c>
      <c r="I77" s="442" t="s">
        <v>200</v>
      </c>
      <c r="J77" s="219" t="s">
        <v>2980</v>
      </c>
      <c r="K77" s="188"/>
    </row>
    <row r="78" spans="1:11" ht="15.6">
      <c r="A78" s="462">
        <v>45885</v>
      </c>
      <c r="B78" s="463" t="s">
        <v>2461</v>
      </c>
      <c r="C78" s="463" t="s">
        <v>2456</v>
      </c>
      <c r="D78" s="442" t="s">
        <v>117</v>
      </c>
      <c r="E78" s="464"/>
      <c r="F78" s="464">
        <v>15000</v>
      </c>
      <c r="G78" s="185"/>
      <c r="H78" s="186">
        <f t="shared" si="1"/>
        <v>-96380</v>
      </c>
      <c r="I78" s="442" t="s">
        <v>200</v>
      </c>
      <c r="J78" s="219" t="s">
        <v>2988</v>
      </c>
      <c r="K78" s="188"/>
    </row>
    <row r="79" spans="1:11" ht="15.6">
      <c r="A79" s="461">
        <v>45885</v>
      </c>
      <c r="B79" s="219" t="s">
        <v>2462</v>
      </c>
      <c r="C79" s="219" t="s">
        <v>174</v>
      </c>
      <c r="D79" s="440" t="s">
        <v>117</v>
      </c>
      <c r="E79" s="244"/>
      <c r="F79" s="244">
        <v>500</v>
      </c>
      <c r="G79" s="185"/>
      <c r="H79" s="186">
        <f t="shared" si="1"/>
        <v>-96880</v>
      </c>
      <c r="I79" s="442" t="s">
        <v>200</v>
      </c>
      <c r="J79" s="219" t="s">
        <v>2489</v>
      </c>
      <c r="K79" s="188"/>
    </row>
    <row r="80" spans="1:11" ht="15.6">
      <c r="A80" s="461">
        <v>45885</v>
      </c>
      <c r="B80" s="219" t="s">
        <v>2463</v>
      </c>
      <c r="C80" s="219" t="s">
        <v>174</v>
      </c>
      <c r="D80" s="440" t="s">
        <v>117</v>
      </c>
      <c r="E80" s="244"/>
      <c r="F80" s="244">
        <v>500</v>
      </c>
      <c r="G80" s="185"/>
      <c r="H80" s="186">
        <f t="shared" si="1"/>
        <v>-97380</v>
      </c>
      <c r="I80" s="442" t="s">
        <v>200</v>
      </c>
      <c r="J80" s="219" t="s">
        <v>2489</v>
      </c>
      <c r="K80" s="188"/>
    </row>
    <row r="81" spans="1:11" ht="15.6">
      <c r="A81" s="415">
        <v>45887</v>
      </c>
      <c r="B81" s="226" t="s">
        <v>2464</v>
      </c>
      <c r="C81" s="226" t="s">
        <v>152</v>
      </c>
      <c r="D81" s="184" t="s">
        <v>117</v>
      </c>
      <c r="E81" s="244">
        <v>5000</v>
      </c>
      <c r="F81" s="244"/>
      <c r="G81" s="185"/>
      <c r="H81" s="186">
        <f t="shared" si="1"/>
        <v>-92380</v>
      </c>
      <c r="I81" s="442" t="s">
        <v>200</v>
      </c>
      <c r="J81" s="219" t="s">
        <v>2989</v>
      </c>
      <c r="K81" s="188"/>
    </row>
    <row r="82" spans="1:11" ht="15.6">
      <c r="A82" s="415">
        <v>45887</v>
      </c>
      <c r="B82" s="226" t="s">
        <v>2465</v>
      </c>
      <c r="C82" s="226" t="s">
        <v>152</v>
      </c>
      <c r="D82" s="184" t="s">
        <v>117</v>
      </c>
      <c r="E82" s="244">
        <v>5000</v>
      </c>
      <c r="F82" s="244"/>
      <c r="G82" s="185"/>
      <c r="H82" s="186">
        <f t="shared" si="1"/>
        <v>-87380</v>
      </c>
      <c r="I82" s="442" t="s">
        <v>200</v>
      </c>
      <c r="J82" s="219" t="s">
        <v>2983</v>
      </c>
      <c r="K82" s="188"/>
    </row>
    <row r="83" spans="1:11" ht="15.6">
      <c r="A83" s="415">
        <v>45887</v>
      </c>
      <c r="B83" s="226" t="s">
        <v>2464</v>
      </c>
      <c r="C83" s="226" t="s">
        <v>152</v>
      </c>
      <c r="D83" s="184" t="s">
        <v>117</v>
      </c>
      <c r="E83" s="244"/>
      <c r="F83" s="244">
        <v>5000</v>
      </c>
      <c r="G83" s="185"/>
      <c r="H83" s="186">
        <f t="shared" si="1"/>
        <v>-92380</v>
      </c>
      <c r="I83" s="442" t="s">
        <v>200</v>
      </c>
      <c r="J83" s="219" t="s">
        <v>2982</v>
      </c>
      <c r="K83" s="188"/>
    </row>
    <row r="84" spans="1:11" ht="15.6">
      <c r="A84" s="415">
        <v>45887</v>
      </c>
      <c r="B84" s="226" t="s">
        <v>2465</v>
      </c>
      <c r="C84" s="226" t="s">
        <v>152</v>
      </c>
      <c r="D84" s="184" t="s">
        <v>117</v>
      </c>
      <c r="E84" s="244"/>
      <c r="F84" s="244">
        <v>5000</v>
      </c>
      <c r="G84" s="185"/>
      <c r="H84" s="186">
        <f t="shared" si="1"/>
        <v>-97380</v>
      </c>
      <c r="I84" s="442" t="s">
        <v>200</v>
      </c>
      <c r="J84" s="219" t="s">
        <v>2983</v>
      </c>
      <c r="K84" s="188"/>
    </row>
    <row r="85" spans="1:11" ht="15.6">
      <c r="A85" s="461">
        <v>45888</v>
      </c>
      <c r="B85" s="219" t="s">
        <v>2451</v>
      </c>
      <c r="C85" s="219" t="s">
        <v>124</v>
      </c>
      <c r="D85" s="440" t="s">
        <v>117</v>
      </c>
      <c r="E85" s="244">
        <v>196000</v>
      </c>
      <c r="F85" s="244"/>
      <c r="G85" s="185"/>
      <c r="H85" s="186">
        <f t="shared" si="1"/>
        <v>98620</v>
      </c>
      <c r="I85" s="442" t="s">
        <v>200</v>
      </c>
      <c r="J85" s="219" t="s">
        <v>2491</v>
      </c>
      <c r="K85" s="188"/>
    </row>
    <row r="86" spans="1:11" ht="15.6">
      <c r="A86" s="461">
        <v>45891</v>
      </c>
      <c r="B86" s="219" t="s">
        <v>2466</v>
      </c>
      <c r="C86" s="219" t="s">
        <v>174</v>
      </c>
      <c r="D86" s="440" t="s">
        <v>117</v>
      </c>
      <c r="E86" s="244"/>
      <c r="F86" s="244">
        <v>500</v>
      </c>
      <c r="G86" s="185"/>
      <c r="H86" s="186">
        <f t="shared" si="1"/>
        <v>98120</v>
      </c>
      <c r="I86" s="442" t="s">
        <v>200</v>
      </c>
      <c r="J86" s="219" t="s">
        <v>2489</v>
      </c>
      <c r="K86" s="188"/>
    </row>
    <row r="87" spans="1:11" ht="15.6">
      <c r="A87" s="461">
        <v>45891</v>
      </c>
      <c r="B87" s="219" t="s">
        <v>2467</v>
      </c>
      <c r="C87" s="219" t="s">
        <v>174</v>
      </c>
      <c r="D87" s="440" t="s">
        <v>117</v>
      </c>
      <c r="E87" s="244"/>
      <c r="F87" s="244">
        <v>500</v>
      </c>
      <c r="G87" s="185"/>
      <c r="H87" s="186">
        <f t="shared" si="1"/>
        <v>97620</v>
      </c>
      <c r="I87" s="442" t="s">
        <v>200</v>
      </c>
      <c r="J87" s="219" t="s">
        <v>2489</v>
      </c>
      <c r="K87" s="188"/>
    </row>
    <row r="88" spans="1:11" ht="15.6">
      <c r="A88" s="461">
        <v>45891</v>
      </c>
      <c r="B88" s="219" t="s">
        <v>2468</v>
      </c>
      <c r="C88" s="219" t="s">
        <v>174</v>
      </c>
      <c r="D88" s="440" t="s">
        <v>117</v>
      </c>
      <c r="E88" s="244"/>
      <c r="F88" s="244">
        <v>500</v>
      </c>
      <c r="G88" s="185"/>
      <c r="H88" s="186">
        <f t="shared" si="1"/>
        <v>97120</v>
      </c>
      <c r="I88" s="442" t="s">
        <v>200</v>
      </c>
      <c r="J88" s="219" t="s">
        <v>2489</v>
      </c>
      <c r="K88" s="188"/>
    </row>
    <row r="89" spans="1:11" ht="15.6">
      <c r="A89" s="461">
        <v>45891</v>
      </c>
      <c r="B89" s="219" t="s">
        <v>2451</v>
      </c>
      <c r="C89" s="219" t="s">
        <v>124</v>
      </c>
      <c r="D89" s="440" t="s">
        <v>117</v>
      </c>
      <c r="E89" s="244">
        <v>379000</v>
      </c>
      <c r="F89" s="244"/>
      <c r="G89" s="185"/>
      <c r="H89" s="186">
        <f t="shared" si="1"/>
        <v>476120</v>
      </c>
      <c r="I89" s="442" t="s">
        <v>200</v>
      </c>
      <c r="J89" s="219" t="s">
        <v>2492</v>
      </c>
      <c r="K89" s="188"/>
    </row>
    <row r="90" spans="1:11" ht="15.6">
      <c r="A90" s="461">
        <v>45892</v>
      </c>
      <c r="B90" s="219" t="s">
        <v>2469</v>
      </c>
      <c r="C90" s="219" t="s">
        <v>174</v>
      </c>
      <c r="D90" s="440" t="s">
        <v>117</v>
      </c>
      <c r="E90" s="244"/>
      <c r="F90" s="244">
        <v>500</v>
      </c>
      <c r="G90" s="185"/>
      <c r="H90" s="186">
        <f t="shared" si="1"/>
        <v>475620</v>
      </c>
      <c r="I90" s="442" t="s">
        <v>200</v>
      </c>
      <c r="J90" s="219" t="s">
        <v>2489</v>
      </c>
      <c r="K90" s="188"/>
    </row>
    <row r="91" spans="1:11" ht="15.6">
      <c r="A91" s="461">
        <v>45892</v>
      </c>
      <c r="B91" s="219" t="s">
        <v>2470</v>
      </c>
      <c r="C91" s="219" t="s">
        <v>174</v>
      </c>
      <c r="D91" s="440" t="s">
        <v>117</v>
      </c>
      <c r="E91" s="244"/>
      <c r="F91" s="244">
        <v>500</v>
      </c>
      <c r="G91" s="185"/>
      <c r="H91" s="186">
        <f t="shared" si="1"/>
        <v>475120</v>
      </c>
      <c r="I91" s="442" t="s">
        <v>200</v>
      </c>
      <c r="J91" s="219" t="s">
        <v>2489</v>
      </c>
      <c r="K91" s="188"/>
    </row>
    <row r="92" spans="1:11" ht="15.6">
      <c r="A92" s="461">
        <v>45892</v>
      </c>
      <c r="B92" s="219" t="s">
        <v>2471</v>
      </c>
      <c r="C92" s="219" t="s">
        <v>174</v>
      </c>
      <c r="D92" s="440" t="s">
        <v>117</v>
      </c>
      <c r="E92" s="244"/>
      <c r="F92" s="244">
        <v>500</v>
      </c>
      <c r="G92" s="185"/>
      <c r="H92" s="186">
        <f t="shared" si="1"/>
        <v>474620</v>
      </c>
      <c r="I92" s="442" t="s">
        <v>200</v>
      </c>
      <c r="J92" s="219" t="s">
        <v>2489</v>
      </c>
      <c r="K92" s="188"/>
    </row>
    <row r="93" spans="1:11" ht="15.6">
      <c r="A93" s="461">
        <v>45892</v>
      </c>
      <c r="B93" s="219" t="s">
        <v>2468</v>
      </c>
      <c r="C93" s="219" t="s">
        <v>174</v>
      </c>
      <c r="D93" s="440" t="s">
        <v>117</v>
      </c>
      <c r="E93" s="244"/>
      <c r="F93" s="244">
        <v>500</v>
      </c>
      <c r="G93" s="185"/>
      <c r="H93" s="186">
        <f t="shared" si="1"/>
        <v>474120</v>
      </c>
      <c r="I93" s="442" t="s">
        <v>200</v>
      </c>
      <c r="J93" s="219" t="s">
        <v>2489</v>
      </c>
      <c r="K93" s="188"/>
    </row>
    <row r="94" spans="1:11" ht="15.6">
      <c r="A94" s="462">
        <v>45892</v>
      </c>
      <c r="B94" s="463" t="s">
        <v>2472</v>
      </c>
      <c r="C94" s="463" t="s">
        <v>2456</v>
      </c>
      <c r="D94" s="442" t="s">
        <v>117</v>
      </c>
      <c r="E94" s="464"/>
      <c r="F94" s="464">
        <v>105000</v>
      </c>
      <c r="G94" s="185"/>
      <c r="H94" s="186">
        <f t="shared" si="1"/>
        <v>369120</v>
      </c>
      <c r="I94" s="442" t="s">
        <v>200</v>
      </c>
      <c r="J94" s="219" t="s">
        <v>2984</v>
      </c>
      <c r="K94" s="188"/>
    </row>
    <row r="95" spans="1:11" ht="15.6">
      <c r="A95" s="461">
        <v>45892</v>
      </c>
      <c r="B95" s="219" t="s">
        <v>2473</v>
      </c>
      <c r="C95" s="219" t="s">
        <v>174</v>
      </c>
      <c r="D95" s="440" t="s">
        <v>117</v>
      </c>
      <c r="E95" s="244"/>
      <c r="F95" s="244">
        <v>500</v>
      </c>
      <c r="G95" s="185"/>
      <c r="H95" s="186">
        <f t="shared" si="1"/>
        <v>368620</v>
      </c>
      <c r="I95" s="442" t="s">
        <v>200</v>
      </c>
      <c r="J95" s="219" t="s">
        <v>2489</v>
      </c>
      <c r="K95" s="188"/>
    </row>
    <row r="96" spans="1:11" ht="15.6">
      <c r="A96" s="461">
        <v>45893</v>
      </c>
      <c r="B96" s="219" t="s">
        <v>2474</v>
      </c>
      <c r="C96" s="219" t="s">
        <v>174</v>
      </c>
      <c r="D96" s="440" t="s">
        <v>117</v>
      </c>
      <c r="E96" s="244"/>
      <c r="F96" s="244">
        <v>500</v>
      </c>
      <c r="G96" s="185"/>
      <c r="H96" s="186">
        <f t="shared" si="1"/>
        <v>368120</v>
      </c>
      <c r="I96" s="442" t="s">
        <v>200</v>
      </c>
      <c r="J96" s="219" t="s">
        <v>2489</v>
      </c>
      <c r="K96" s="188"/>
    </row>
    <row r="97" spans="1:11" ht="15.6">
      <c r="A97" s="461">
        <v>45893</v>
      </c>
      <c r="B97" s="219" t="s">
        <v>2475</v>
      </c>
      <c r="C97" s="219" t="s">
        <v>174</v>
      </c>
      <c r="D97" s="440" t="s">
        <v>117</v>
      </c>
      <c r="E97" s="244"/>
      <c r="F97" s="244">
        <v>500</v>
      </c>
      <c r="G97" s="185"/>
      <c r="H97" s="186">
        <f t="shared" si="1"/>
        <v>367620</v>
      </c>
      <c r="I97" s="442" t="s">
        <v>200</v>
      </c>
      <c r="J97" s="219" t="s">
        <v>2489</v>
      </c>
      <c r="K97" s="188"/>
    </row>
    <row r="98" spans="1:11" ht="15.6">
      <c r="A98" s="461">
        <v>45894</v>
      </c>
      <c r="B98" s="219" t="s">
        <v>2476</v>
      </c>
      <c r="C98" s="219" t="s">
        <v>174</v>
      </c>
      <c r="D98" s="440" t="s">
        <v>117</v>
      </c>
      <c r="E98" s="244"/>
      <c r="F98" s="244">
        <v>500</v>
      </c>
      <c r="G98" s="185"/>
      <c r="H98" s="186">
        <f t="shared" si="1"/>
        <v>367120</v>
      </c>
      <c r="I98" s="442" t="s">
        <v>200</v>
      </c>
      <c r="J98" s="219" t="s">
        <v>2489</v>
      </c>
      <c r="K98" s="188"/>
    </row>
    <row r="99" spans="1:11" ht="15.6">
      <c r="A99" s="461">
        <v>45894</v>
      </c>
      <c r="B99" s="219" t="s">
        <v>2477</v>
      </c>
      <c r="C99" s="219" t="s">
        <v>174</v>
      </c>
      <c r="D99" s="440" t="s">
        <v>117</v>
      </c>
      <c r="E99" s="244"/>
      <c r="F99" s="244">
        <v>2000</v>
      </c>
      <c r="G99" s="185"/>
      <c r="H99" s="186">
        <f t="shared" si="1"/>
        <v>365120</v>
      </c>
      <c r="I99" s="442" t="s">
        <v>200</v>
      </c>
      <c r="J99" s="219" t="s">
        <v>2489</v>
      </c>
      <c r="K99" s="188"/>
    </row>
    <row r="100" spans="1:11" ht="15.6">
      <c r="A100" s="462">
        <v>45894</v>
      </c>
      <c r="B100" s="463" t="s">
        <v>2478</v>
      </c>
      <c r="C100" s="463" t="s">
        <v>2456</v>
      </c>
      <c r="D100" s="442" t="s">
        <v>2479</v>
      </c>
      <c r="E100" s="464"/>
      <c r="F100" s="464">
        <v>10000</v>
      </c>
      <c r="G100" s="185"/>
      <c r="H100" s="186">
        <f t="shared" si="1"/>
        <v>355120</v>
      </c>
      <c r="I100" s="442" t="s">
        <v>200</v>
      </c>
      <c r="J100" s="219" t="s">
        <v>2985</v>
      </c>
      <c r="K100" s="188"/>
    </row>
    <row r="101" spans="1:11" ht="15.6">
      <c r="A101" s="461">
        <v>45894</v>
      </c>
      <c r="B101" s="219" t="s">
        <v>2468</v>
      </c>
      <c r="C101" s="219" t="s">
        <v>174</v>
      </c>
      <c r="D101" s="440" t="s">
        <v>117</v>
      </c>
      <c r="E101" s="244"/>
      <c r="F101" s="244">
        <v>500</v>
      </c>
      <c r="G101" s="185"/>
      <c r="H101" s="186">
        <f t="shared" si="1"/>
        <v>354620</v>
      </c>
      <c r="I101" s="442" t="s">
        <v>200</v>
      </c>
      <c r="J101" s="219" t="s">
        <v>2489</v>
      </c>
      <c r="K101" s="188"/>
    </row>
    <row r="102" spans="1:11" ht="15.6">
      <c r="A102" s="461">
        <v>45895</v>
      </c>
      <c r="B102" s="219" t="s">
        <v>2480</v>
      </c>
      <c r="C102" s="219" t="s">
        <v>174</v>
      </c>
      <c r="D102" s="440" t="s">
        <v>117</v>
      </c>
      <c r="E102" s="244"/>
      <c r="F102" s="244">
        <v>500</v>
      </c>
      <c r="G102" s="185"/>
      <c r="H102" s="186">
        <f t="shared" si="1"/>
        <v>354120</v>
      </c>
      <c r="I102" s="442" t="s">
        <v>200</v>
      </c>
      <c r="J102" s="219" t="s">
        <v>2489</v>
      </c>
      <c r="K102" s="188"/>
    </row>
    <row r="103" spans="1:11" ht="15.6">
      <c r="A103" s="462">
        <v>45895</v>
      </c>
      <c r="B103" s="463" t="s">
        <v>2481</v>
      </c>
      <c r="C103" s="463" t="s">
        <v>2456</v>
      </c>
      <c r="D103" s="442" t="s">
        <v>2479</v>
      </c>
      <c r="E103" s="464"/>
      <c r="F103" s="464">
        <v>160000</v>
      </c>
      <c r="G103" s="185"/>
      <c r="H103" s="186">
        <f t="shared" si="1"/>
        <v>194120</v>
      </c>
      <c r="I103" s="442" t="s">
        <v>200</v>
      </c>
      <c r="J103" s="219" t="s">
        <v>2986</v>
      </c>
      <c r="K103" s="188"/>
    </row>
    <row r="104" spans="1:11" ht="15.6">
      <c r="A104" s="462">
        <v>45895</v>
      </c>
      <c r="B104" s="463" t="s">
        <v>2482</v>
      </c>
      <c r="C104" s="463" t="s">
        <v>2456</v>
      </c>
      <c r="D104" s="442" t="s">
        <v>2479</v>
      </c>
      <c r="E104" s="464"/>
      <c r="F104" s="464">
        <v>20000</v>
      </c>
      <c r="G104" s="219"/>
      <c r="H104" s="186">
        <f t="shared" si="1"/>
        <v>174120</v>
      </c>
      <c r="I104" s="442" t="s">
        <v>200</v>
      </c>
      <c r="J104" s="219" t="s">
        <v>2987</v>
      </c>
      <c r="K104" s="199"/>
    </row>
    <row r="105" spans="1:11" ht="15.6">
      <c r="A105" s="461">
        <v>45895</v>
      </c>
      <c r="B105" s="219" t="s">
        <v>2483</v>
      </c>
      <c r="C105" s="219" t="s">
        <v>174</v>
      </c>
      <c r="D105" s="440" t="s">
        <v>117</v>
      </c>
      <c r="E105" s="244"/>
      <c r="F105" s="244">
        <v>500</v>
      </c>
      <c r="G105" s="219"/>
      <c r="H105" s="186">
        <f t="shared" si="1"/>
        <v>173620</v>
      </c>
      <c r="I105" s="442" t="s">
        <v>200</v>
      </c>
      <c r="J105" s="219" t="s">
        <v>2489</v>
      </c>
      <c r="K105" s="199"/>
    </row>
    <row r="106" spans="1:11" ht="15.6">
      <c r="A106" s="461">
        <v>45896</v>
      </c>
      <c r="B106" s="219" t="s">
        <v>2484</v>
      </c>
      <c r="C106" s="219" t="s">
        <v>174</v>
      </c>
      <c r="D106" s="440" t="s">
        <v>117</v>
      </c>
      <c r="E106" s="244"/>
      <c r="F106" s="244">
        <v>500</v>
      </c>
      <c r="G106" s="219"/>
      <c r="H106" s="186">
        <f t="shared" si="1"/>
        <v>173120</v>
      </c>
      <c r="I106" s="442" t="s">
        <v>200</v>
      </c>
      <c r="J106" s="219" t="s">
        <v>2489</v>
      </c>
      <c r="K106" s="199"/>
    </row>
    <row r="107" spans="1:11" ht="15.6">
      <c r="A107" s="461">
        <v>45896</v>
      </c>
      <c r="B107" s="219" t="s">
        <v>2468</v>
      </c>
      <c r="C107" s="219" t="s">
        <v>174</v>
      </c>
      <c r="D107" s="440" t="s">
        <v>117</v>
      </c>
      <c r="E107" s="244"/>
      <c r="F107" s="244">
        <v>500</v>
      </c>
      <c r="G107" s="219"/>
      <c r="H107" s="186">
        <f t="shared" si="1"/>
        <v>172620</v>
      </c>
      <c r="I107" s="442" t="s">
        <v>200</v>
      </c>
      <c r="J107" s="219" t="s">
        <v>2489</v>
      </c>
      <c r="K107" s="199"/>
    </row>
    <row r="108" spans="1:11" ht="15.6">
      <c r="A108" s="461">
        <v>45896</v>
      </c>
      <c r="B108" s="219" t="s">
        <v>2451</v>
      </c>
      <c r="C108" s="219" t="s">
        <v>124</v>
      </c>
      <c r="D108" s="440" t="s">
        <v>117</v>
      </c>
      <c r="E108" s="244">
        <v>30000</v>
      </c>
      <c r="F108" s="244"/>
      <c r="G108" s="219"/>
      <c r="H108" s="186">
        <f t="shared" si="1"/>
        <v>202620</v>
      </c>
      <c r="I108" s="442" t="s">
        <v>200</v>
      </c>
      <c r="J108" s="219" t="s">
        <v>2493</v>
      </c>
      <c r="K108" s="199"/>
    </row>
    <row r="109" spans="1:11" ht="15.6">
      <c r="A109" s="461">
        <v>45897</v>
      </c>
      <c r="B109" s="219" t="s">
        <v>2484</v>
      </c>
      <c r="C109" s="219" t="s">
        <v>174</v>
      </c>
      <c r="D109" s="440" t="s">
        <v>117</v>
      </c>
      <c r="E109" s="244"/>
      <c r="F109" s="244">
        <v>500</v>
      </c>
      <c r="G109" s="219"/>
      <c r="H109" s="186">
        <f t="shared" si="1"/>
        <v>202120</v>
      </c>
      <c r="I109" s="442" t="s">
        <v>200</v>
      </c>
      <c r="J109" s="219" t="s">
        <v>2489</v>
      </c>
      <c r="K109" s="199"/>
    </row>
    <row r="110" spans="1:11" ht="15.6">
      <c r="A110" s="461">
        <v>45897</v>
      </c>
      <c r="B110" s="219" t="s">
        <v>2483</v>
      </c>
      <c r="C110" s="219" t="s">
        <v>174</v>
      </c>
      <c r="D110" s="440" t="s">
        <v>117</v>
      </c>
      <c r="E110" s="244"/>
      <c r="F110" s="244">
        <v>500</v>
      </c>
      <c r="G110" s="219"/>
      <c r="H110" s="186">
        <f t="shared" si="1"/>
        <v>201620</v>
      </c>
      <c r="I110" s="442" t="s">
        <v>200</v>
      </c>
      <c r="J110" s="219" t="s">
        <v>2489</v>
      </c>
      <c r="K110" s="199"/>
    </row>
    <row r="111" spans="1:11" ht="15.6">
      <c r="A111" s="461">
        <v>45898</v>
      </c>
      <c r="B111" s="219" t="s">
        <v>2485</v>
      </c>
      <c r="C111" s="219" t="s">
        <v>174</v>
      </c>
      <c r="D111" s="440" t="s">
        <v>117</v>
      </c>
      <c r="E111" s="244"/>
      <c r="F111" s="244">
        <v>500</v>
      </c>
      <c r="G111" s="219"/>
      <c r="H111" s="186">
        <f t="shared" si="1"/>
        <v>201120</v>
      </c>
      <c r="I111" s="442" t="s">
        <v>200</v>
      </c>
      <c r="J111" s="219" t="s">
        <v>2489</v>
      </c>
      <c r="K111" s="199"/>
    </row>
    <row r="112" spans="1:11" ht="15.6">
      <c r="A112" s="461">
        <v>45898</v>
      </c>
      <c r="B112" s="219" t="s">
        <v>2486</v>
      </c>
      <c r="C112" s="219" t="s">
        <v>174</v>
      </c>
      <c r="D112" s="440" t="s">
        <v>117</v>
      </c>
      <c r="E112" s="244"/>
      <c r="F112" s="244">
        <v>500</v>
      </c>
      <c r="G112" s="219"/>
      <c r="H112" s="186">
        <f t="shared" si="1"/>
        <v>200620</v>
      </c>
      <c r="I112" s="442" t="s">
        <v>200</v>
      </c>
      <c r="J112" s="219" t="s">
        <v>2489</v>
      </c>
      <c r="K112" s="199"/>
    </row>
    <row r="113" spans="1:11" ht="15.6">
      <c r="A113" s="200"/>
      <c r="B113" s="188"/>
      <c r="C113" s="188"/>
      <c r="D113" s="188"/>
      <c r="E113" s="201">
        <f>SUM(E67:E112)</f>
        <v>740000</v>
      </c>
      <c r="F113" s="201">
        <f>SUM(F67:F112)</f>
        <v>583500</v>
      </c>
      <c r="G113" s="201"/>
      <c r="H113" s="193">
        <f>+E113-F113+H67</f>
        <v>200620</v>
      </c>
      <c r="I113" s="188"/>
      <c r="J113" s="188"/>
      <c r="K113" s="188"/>
    </row>
    <row r="114" spans="1:11" ht="15.6">
      <c r="A114" s="200"/>
      <c r="B114" s="188"/>
      <c r="C114" s="188"/>
      <c r="D114" s="188"/>
      <c r="E114" s="192"/>
      <c r="F114" s="192"/>
      <c r="G114" s="192"/>
      <c r="H114" s="193"/>
      <c r="I114" s="188"/>
      <c r="J114" s="188"/>
      <c r="K114" s="188"/>
    </row>
    <row r="115" spans="1:11" ht="15.6">
      <c r="A115" s="200"/>
      <c r="B115" s="188"/>
      <c r="C115" s="191" t="s">
        <v>453</v>
      </c>
      <c r="D115" s="188"/>
      <c r="E115" s="192"/>
      <c r="F115" s="192"/>
      <c r="G115" s="192"/>
      <c r="H115" s="193"/>
      <c r="I115" s="188"/>
      <c r="J115" s="188"/>
      <c r="K115" s="188"/>
    </row>
    <row r="116" spans="1:11" ht="15.6">
      <c r="A116" s="200"/>
      <c r="B116" s="188"/>
      <c r="C116" s="188"/>
      <c r="D116" s="188"/>
      <c r="E116" s="192"/>
      <c r="F116" s="192"/>
      <c r="G116" s="192"/>
      <c r="H116" s="193"/>
      <c r="I116" s="188"/>
      <c r="J116" s="188"/>
      <c r="K116" s="188"/>
    </row>
    <row r="117" spans="1:11" ht="15.6">
      <c r="A117" s="202" t="s">
        <v>0</v>
      </c>
      <c r="B117" s="195" t="s">
        <v>445</v>
      </c>
      <c r="C117" s="195" t="s">
        <v>775</v>
      </c>
      <c r="D117" s="195" t="s">
        <v>446</v>
      </c>
      <c r="E117" s="196" t="s">
        <v>448</v>
      </c>
      <c r="F117" s="196" t="s">
        <v>449</v>
      </c>
      <c r="G117" s="196"/>
      <c r="H117" s="203" t="s">
        <v>30</v>
      </c>
      <c r="I117" s="195" t="s">
        <v>450</v>
      </c>
      <c r="J117" s="195" t="s">
        <v>451</v>
      </c>
      <c r="K117" s="198"/>
    </row>
    <row r="118" spans="1:11" ht="15.6">
      <c r="A118" s="176">
        <v>45870</v>
      </c>
      <c r="B118" s="129" t="s">
        <v>2882</v>
      </c>
      <c r="C118" s="189"/>
      <c r="D118" s="189"/>
      <c r="E118" s="189"/>
      <c r="F118" s="189"/>
      <c r="G118" s="189"/>
      <c r="H118" s="204">
        <v>0</v>
      </c>
      <c r="I118" s="189" t="s">
        <v>157</v>
      </c>
      <c r="J118" s="189"/>
      <c r="K118" s="188"/>
    </row>
    <row r="119" spans="1:11" ht="15.6">
      <c r="A119" s="555"/>
      <c r="B119" s="556"/>
      <c r="C119" s="556"/>
      <c r="D119" s="557"/>
      <c r="E119" s="178">
        <f>SUM(E118:E118)</f>
        <v>0</v>
      </c>
      <c r="F119" s="178">
        <f>SUM(F118:F118)</f>
        <v>0</v>
      </c>
      <c r="G119" s="178"/>
      <c r="H119" s="207">
        <f>E119-F119+H118</f>
        <v>0</v>
      </c>
      <c r="I119" s="177"/>
      <c r="J119" s="177"/>
      <c r="K119" s="179"/>
    </row>
    <row r="120" spans="1:11" ht="15.6">
      <c r="A120" s="200"/>
      <c r="B120" s="188"/>
      <c r="C120" s="188"/>
      <c r="D120" s="188"/>
      <c r="E120" s="192"/>
      <c r="F120" s="192"/>
      <c r="G120" s="192"/>
      <c r="H120" s="193"/>
      <c r="I120" s="188"/>
      <c r="J120" s="188"/>
      <c r="K120" s="179"/>
    </row>
    <row r="121" spans="1:11" ht="15.6">
      <c r="A121" s="200"/>
      <c r="B121" s="188"/>
      <c r="C121" s="191" t="s">
        <v>648</v>
      </c>
      <c r="D121" s="188"/>
      <c r="E121" s="192"/>
      <c r="F121" s="192"/>
      <c r="G121" s="192"/>
      <c r="H121" s="193"/>
      <c r="I121" s="188"/>
      <c r="J121" s="188"/>
      <c r="K121" s="179"/>
    </row>
    <row r="122" spans="1:11" ht="15.6">
      <c r="A122" s="200"/>
      <c r="B122" s="188"/>
      <c r="C122" s="188"/>
      <c r="D122" s="188"/>
      <c r="E122" s="192"/>
      <c r="F122" s="192"/>
      <c r="G122" s="192"/>
      <c r="H122" s="193"/>
      <c r="I122" s="188"/>
      <c r="J122" s="188"/>
      <c r="K122" s="179"/>
    </row>
    <row r="123" spans="1:11" ht="15.6">
      <c r="A123" s="202" t="s">
        <v>0</v>
      </c>
      <c r="B123" s="195" t="s">
        <v>445</v>
      </c>
      <c r="C123" s="195" t="s">
        <v>446</v>
      </c>
      <c r="D123" s="195" t="s">
        <v>775</v>
      </c>
      <c r="E123" s="196" t="s">
        <v>448</v>
      </c>
      <c r="F123" s="196" t="s">
        <v>449</v>
      </c>
      <c r="G123" s="196"/>
      <c r="H123" s="203" t="s">
        <v>30</v>
      </c>
      <c r="I123" s="195" t="s">
        <v>450</v>
      </c>
      <c r="J123" s="195" t="s">
        <v>451</v>
      </c>
      <c r="K123" s="179"/>
    </row>
    <row r="124" spans="1:11" ht="15.6">
      <c r="A124" s="176">
        <v>45870</v>
      </c>
      <c r="B124" s="129" t="s">
        <v>2882</v>
      </c>
      <c r="C124" s="189"/>
      <c r="D124" s="189"/>
      <c r="E124" s="189"/>
      <c r="F124" s="189"/>
      <c r="G124" s="189"/>
      <c r="H124" s="186">
        <v>-1500</v>
      </c>
      <c r="I124" s="189" t="s">
        <v>583</v>
      </c>
      <c r="J124" s="189"/>
      <c r="K124" s="179"/>
    </row>
    <row r="125" spans="1:11" ht="15.6">
      <c r="A125" s="484">
        <v>45870</v>
      </c>
      <c r="B125" s="226" t="s">
        <v>2500</v>
      </c>
      <c r="C125" s="76" t="s">
        <v>174</v>
      </c>
      <c r="D125" s="76" t="s">
        <v>118</v>
      </c>
      <c r="E125" s="223"/>
      <c r="F125" s="224">
        <v>1000</v>
      </c>
      <c r="G125" s="224"/>
      <c r="H125" s="223">
        <f t="shared" ref="H125:H219" si="2">+H124+E125-F125</f>
        <v>-2500</v>
      </c>
      <c r="I125" s="76" t="s">
        <v>583</v>
      </c>
      <c r="J125" s="76" t="s">
        <v>2536</v>
      </c>
      <c r="K125" s="179"/>
    </row>
    <row r="126" spans="1:11" ht="15.6">
      <c r="A126" s="484">
        <v>45870</v>
      </c>
      <c r="B126" s="226" t="s">
        <v>2501</v>
      </c>
      <c r="C126" s="76" t="s">
        <v>174</v>
      </c>
      <c r="D126" s="76" t="s">
        <v>118</v>
      </c>
      <c r="E126" s="223"/>
      <c r="F126" s="224">
        <v>1000</v>
      </c>
      <c r="G126" s="222"/>
      <c r="H126" s="223">
        <f t="shared" si="2"/>
        <v>-3500</v>
      </c>
      <c r="I126" s="76" t="s">
        <v>583</v>
      </c>
      <c r="J126" s="76" t="s">
        <v>2536</v>
      </c>
      <c r="K126" s="179"/>
    </row>
    <row r="127" spans="1:11" ht="15.6">
      <c r="A127" s="484">
        <v>45874</v>
      </c>
      <c r="B127" s="226" t="s">
        <v>2502</v>
      </c>
      <c r="C127" s="76" t="s">
        <v>174</v>
      </c>
      <c r="D127" s="76" t="s">
        <v>118</v>
      </c>
      <c r="E127" s="223"/>
      <c r="F127" s="224">
        <v>1000</v>
      </c>
      <c r="G127" s="224"/>
      <c r="H127" s="223">
        <f t="shared" si="2"/>
        <v>-4500</v>
      </c>
      <c r="I127" s="76" t="s">
        <v>583</v>
      </c>
      <c r="J127" s="76" t="s">
        <v>2536</v>
      </c>
      <c r="K127" s="179"/>
    </row>
    <row r="128" spans="1:11" ht="15.6">
      <c r="A128" s="484">
        <v>45874</v>
      </c>
      <c r="B128" s="226" t="s">
        <v>2503</v>
      </c>
      <c r="C128" s="76" t="s">
        <v>174</v>
      </c>
      <c r="D128" s="76" t="s">
        <v>118</v>
      </c>
      <c r="E128" s="223"/>
      <c r="F128" s="224">
        <v>1000</v>
      </c>
      <c r="G128" s="221"/>
      <c r="H128" s="223">
        <f t="shared" si="2"/>
        <v>-5500</v>
      </c>
      <c r="I128" s="76" t="s">
        <v>583</v>
      </c>
      <c r="J128" s="76" t="s">
        <v>2536</v>
      </c>
      <c r="K128" s="179"/>
    </row>
    <row r="129" spans="1:11" ht="15.6">
      <c r="A129" s="484">
        <v>45875</v>
      </c>
      <c r="B129" s="226" t="s">
        <v>2502</v>
      </c>
      <c r="C129" s="76" t="s">
        <v>174</v>
      </c>
      <c r="D129" s="76" t="s">
        <v>118</v>
      </c>
      <c r="E129" s="223"/>
      <c r="F129" s="224">
        <v>1000</v>
      </c>
      <c r="G129" s="221"/>
      <c r="H129" s="223">
        <f t="shared" si="2"/>
        <v>-6500</v>
      </c>
      <c r="I129" s="76" t="s">
        <v>583</v>
      </c>
      <c r="J129" s="76" t="s">
        <v>2536</v>
      </c>
      <c r="K129" s="179"/>
    </row>
    <row r="130" spans="1:11" ht="15.6">
      <c r="A130" s="484">
        <v>45875</v>
      </c>
      <c r="B130" s="226" t="s">
        <v>2503</v>
      </c>
      <c r="C130" s="76" t="s">
        <v>174</v>
      </c>
      <c r="D130" s="76" t="s">
        <v>118</v>
      </c>
      <c r="E130" s="223"/>
      <c r="F130" s="224">
        <v>1000</v>
      </c>
      <c r="G130" s="221"/>
      <c r="H130" s="223">
        <f t="shared" si="2"/>
        <v>-7500</v>
      </c>
      <c r="I130" s="76" t="s">
        <v>583</v>
      </c>
      <c r="J130" s="76" t="s">
        <v>2536</v>
      </c>
      <c r="K130" s="179"/>
    </row>
    <row r="131" spans="1:11" ht="15.6">
      <c r="A131" s="484">
        <v>45876</v>
      </c>
      <c r="B131" s="226" t="s">
        <v>2504</v>
      </c>
      <c r="C131" s="76" t="s">
        <v>174</v>
      </c>
      <c r="D131" s="76" t="s">
        <v>118</v>
      </c>
      <c r="E131" s="223"/>
      <c r="F131" s="224">
        <v>1000</v>
      </c>
      <c r="G131" s="221"/>
      <c r="H131" s="223">
        <f t="shared" si="2"/>
        <v>-8500</v>
      </c>
      <c r="I131" s="76" t="s">
        <v>583</v>
      </c>
      <c r="J131" s="76" t="s">
        <v>2536</v>
      </c>
      <c r="K131" s="179"/>
    </row>
    <row r="132" spans="1:11" ht="15.6">
      <c r="A132" s="484">
        <v>45876</v>
      </c>
      <c r="B132" s="226" t="s">
        <v>2505</v>
      </c>
      <c r="C132" s="76" t="s">
        <v>174</v>
      </c>
      <c r="D132" s="76" t="s">
        <v>118</v>
      </c>
      <c r="E132" s="223"/>
      <c r="F132" s="224">
        <v>1000</v>
      </c>
      <c r="G132" s="221"/>
      <c r="H132" s="223">
        <f t="shared" si="2"/>
        <v>-9500</v>
      </c>
      <c r="I132" s="76" t="s">
        <v>583</v>
      </c>
      <c r="J132" s="76" t="s">
        <v>2536</v>
      </c>
      <c r="K132" s="179"/>
    </row>
    <row r="133" spans="1:11" ht="15.6">
      <c r="A133" s="484">
        <v>45876</v>
      </c>
      <c r="B133" s="226" t="s">
        <v>2506</v>
      </c>
      <c r="C133" s="76" t="s">
        <v>174</v>
      </c>
      <c r="D133" s="76" t="s">
        <v>118</v>
      </c>
      <c r="E133" s="223"/>
      <c r="F133" s="224">
        <v>1000</v>
      </c>
      <c r="G133" s="221"/>
      <c r="H133" s="223">
        <f t="shared" si="2"/>
        <v>-10500</v>
      </c>
      <c r="I133" s="76" t="s">
        <v>583</v>
      </c>
      <c r="J133" s="76" t="s">
        <v>2536</v>
      </c>
      <c r="K133" s="179"/>
    </row>
    <row r="134" spans="1:11" ht="15.6">
      <c r="A134" s="484">
        <v>45876</v>
      </c>
      <c r="B134" s="226" t="s">
        <v>2507</v>
      </c>
      <c r="C134" s="76" t="s">
        <v>174</v>
      </c>
      <c r="D134" s="76" t="s">
        <v>118</v>
      </c>
      <c r="E134" s="223"/>
      <c r="F134" s="224">
        <v>1000</v>
      </c>
      <c r="G134" s="221"/>
      <c r="H134" s="223">
        <f t="shared" si="2"/>
        <v>-11500</v>
      </c>
      <c r="I134" s="76" t="s">
        <v>583</v>
      </c>
      <c r="J134" s="76" t="s">
        <v>2536</v>
      </c>
      <c r="K134" s="179"/>
    </row>
    <row r="135" spans="1:11" ht="15.6">
      <c r="A135" s="484">
        <v>45877</v>
      </c>
      <c r="B135" s="226" t="s">
        <v>2502</v>
      </c>
      <c r="C135" s="76" t="s">
        <v>174</v>
      </c>
      <c r="D135" s="76" t="s">
        <v>118</v>
      </c>
      <c r="E135" s="223"/>
      <c r="F135" s="224">
        <v>1000</v>
      </c>
      <c r="G135" s="221"/>
      <c r="H135" s="223">
        <f t="shared" si="2"/>
        <v>-12500</v>
      </c>
      <c r="I135" s="76" t="s">
        <v>583</v>
      </c>
      <c r="J135" s="76" t="s">
        <v>2536</v>
      </c>
      <c r="K135" s="179"/>
    </row>
    <row r="136" spans="1:11" ht="15.6">
      <c r="A136" s="484">
        <v>45877</v>
      </c>
      <c r="B136" s="226" t="s">
        <v>2503</v>
      </c>
      <c r="C136" s="76" t="s">
        <v>174</v>
      </c>
      <c r="D136" s="76" t="s">
        <v>118</v>
      </c>
      <c r="E136" s="223"/>
      <c r="F136" s="224">
        <v>1500</v>
      </c>
      <c r="G136" s="221"/>
      <c r="H136" s="223">
        <f t="shared" si="2"/>
        <v>-14000</v>
      </c>
      <c r="I136" s="76" t="s">
        <v>583</v>
      </c>
      <c r="J136" s="76" t="s">
        <v>2536</v>
      </c>
      <c r="K136" s="179"/>
    </row>
    <row r="137" spans="1:11" ht="15.6">
      <c r="A137" s="484">
        <v>45877</v>
      </c>
      <c r="B137" s="76" t="s">
        <v>649</v>
      </c>
      <c r="C137" s="246" t="s">
        <v>124</v>
      </c>
      <c r="D137" s="76" t="s">
        <v>118</v>
      </c>
      <c r="E137" s="223">
        <v>20000</v>
      </c>
      <c r="F137" s="224"/>
      <c r="G137" s="221"/>
      <c r="H137" s="223">
        <f t="shared" si="2"/>
        <v>6000</v>
      </c>
      <c r="I137" s="76" t="s">
        <v>583</v>
      </c>
      <c r="J137" s="76" t="s">
        <v>2537</v>
      </c>
      <c r="K137" s="179"/>
    </row>
    <row r="138" spans="1:11" ht="15.6">
      <c r="A138" s="484">
        <v>45880</v>
      </c>
      <c r="B138" s="226" t="s">
        <v>2502</v>
      </c>
      <c r="C138" s="76" t="s">
        <v>174</v>
      </c>
      <c r="D138" s="76" t="s">
        <v>118</v>
      </c>
      <c r="E138" s="223"/>
      <c r="F138" s="224">
        <v>1500</v>
      </c>
      <c r="G138" s="221"/>
      <c r="H138" s="223">
        <f t="shared" si="2"/>
        <v>4500</v>
      </c>
      <c r="I138" s="76" t="s">
        <v>583</v>
      </c>
      <c r="J138" s="76" t="s">
        <v>2536</v>
      </c>
      <c r="K138" s="179"/>
    </row>
    <row r="139" spans="1:11" ht="15.6">
      <c r="A139" s="484">
        <v>45880</v>
      </c>
      <c r="B139" s="226" t="s">
        <v>2503</v>
      </c>
      <c r="C139" s="76" t="s">
        <v>174</v>
      </c>
      <c r="D139" s="76" t="s">
        <v>118</v>
      </c>
      <c r="E139" s="223"/>
      <c r="F139" s="224">
        <v>2000</v>
      </c>
      <c r="G139" s="221"/>
      <c r="H139" s="223">
        <f t="shared" si="2"/>
        <v>2500</v>
      </c>
      <c r="I139" s="76" t="s">
        <v>583</v>
      </c>
      <c r="J139" s="76" t="s">
        <v>2536</v>
      </c>
      <c r="K139" s="179"/>
    </row>
    <row r="140" spans="1:11" ht="15.6">
      <c r="A140" s="484">
        <v>45882</v>
      </c>
      <c r="B140" s="226" t="s">
        <v>2508</v>
      </c>
      <c r="C140" s="76" t="s">
        <v>174</v>
      </c>
      <c r="D140" s="76" t="s">
        <v>118</v>
      </c>
      <c r="E140" s="223"/>
      <c r="F140" s="224">
        <v>1500</v>
      </c>
      <c r="G140" s="221"/>
      <c r="H140" s="223">
        <f t="shared" si="2"/>
        <v>1000</v>
      </c>
      <c r="I140" s="76" t="s">
        <v>583</v>
      </c>
      <c r="J140" s="76" t="s">
        <v>2536</v>
      </c>
      <c r="K140" s="179"/>
    </row>
    <row r="141" spans="1:11" ht="15.6">
      <c r="A141" s="484">
        <v>45882</v>
      </c>
      <c r="B141" s="226" t="s">
        <v>2509</v>
      </c>
      <c r="C141" s="76" t="s">
        <v>174</v>
      </c>
      <c r="D141" s="76" t="s">
        <v>118</v>
      </c>
      <c r="E141" s="223"/>
      <c r="F141" s="224">
        <v>1500</v>
      </c>
      <c r="G141" s="221"/>
      <c r="H141" s="223">
        <f t="shared" si="2"/>
        <v>-500</v>
      </c>
      <c r="I141" s="76" t="s">
        <v>583</v>
      </c>
      <c r="J141" s="76" t="s">
        <v>2536</v>
      </c>
      <c r="K141" s="179"/>
    </row>
    <row r="142" spans="1:11" ht="15.6">
      <c r="A142" s="484">
        <v>45883</v>
      </c>
      <c r="B142" s="226" t="s">
        <v>2508</v>
      </c>
      <c r="C142" s="76" t="s">
        <v>174</v>
      </c>
      <c r="D142" s="76" t="s">
        <v>118</v>
      </c>
      <c r="E142" s="223"/>
      <c r="F142" s="224">
        <v>1000</v>
      </c>
      <c r="G142" s="221"/>
      <c r="H142" s="223">
        <f t="shared" si="2"/>
        <v>-1500</v>
      </c>
      <c r="I142" s="76" t="s">
        <v>583</v>
      </c>
      <c r="J142" s="76" t="s">
        <v>2536</v>
      </c>
      <c r="K142" s="179"/>
    </row>
    <row r="143" spans="1:11" ht="15.6">
      <c r="A143" s="484">
        <v>45883</v>
      </c>
      <c r="B143" s="226" t="s">
        <v>2509</v>
      </c>
      <c r="C143" s="76" t="s">
        <v>174</v>
      </c>
      <c r="D143" s="76" t="s">
        <v>118</v>
      </c>
      <c r="E143" s="223"/>
      <c r="F143" s="224">
        <v>1000</v>
      </c>
      <c r="G143" s="221"/>
      <c r="H143" s="223">
        <f t="shared" si="2"/>
        <v>-2500</v>
      </c>
      <c r="I143" s="76" t="s">
        <v>583</v>
      </c>
      <c r="J143" s="76" t="s">
        <v>2536</v>
      </c>
      <c r="K143" s="179"/>
    </row>
    <row r="144" spans="1:11" ht="15.6">
      <c r="A144" s="484">
        <v>45883</v>
      </c>
      <c r="B144" s="226" t="s">
        <v>2510</v>
      </c>
      <c r="C144" s="76" t="s">
        <v>174</v>
      </c>
      <c r="D144" s="76" t="s">
        <v>118</v>
      </c>
      <c r="E144" s="223"/>
      <c r="F144" s="224">
        <v>1000</v>
      </c>
      <c r="G144" s="221"/>
      <c r="H144" s="223">
        <f t="shared" si="2"/>
        <v>-3500</v>
      </c>
      <c r="I144" s="76" t="s">
        <v>583</v>
      </c>
      <c r="J144" s="76" t="s">
        <v>2536</v>
      </c>
      <c r="K144" s="179"/>
    </row>
    <row r="145" spans="1:11" ht="15.6">
      <c r="A145" s="484">
        <v>45883</v>
      </c>
      <c r="B145" s="226" t="s">
        <v>2511</v>
      </c>
      <c r="C145" s="76" t="s">
        <v>174</v>
      </c>
      <c r="D145" s="76" t="s">
        <v>118</v>
      </c>
      <c r="E145" s="223"/>
      <c r="F145" s="224">
        <v>1000</v>
      </c>
      <c r="G145" s="221"/>
      <c r="H145" s="223">
        <f t="shared" si="2"/>
        <v>-4500</v>
      </c>
      <c r="I145" s="76" t="s">
        <v>583</v>
      </c>
      <c r="J145" s="76" t="s">
        <v>2536</v>
      </c>
      <c r="K145" s="179"/>
    </row>
    <row r="146" spans="1:11" ht="15.6">
      <c r="A146" s="484">
        <v>45883</v>
      </c>
      <c r="B146" s="76" t="s">
        <v>649</v>
      </c>
      <c r="C146" s="246" t="s">
        <v>124</v>
      </c>
      <c r="D146" s="76" t="s">
        <v>118</v>
      </c>
      <c r="E146" s="223">
        <v>20000</v>
      </c>
      <c r="F146" s="224"/>
      <c r="G146" s="221"/>
      <c r="H146" s="223">
        <f t="shared" si="2"/>
        <v>15500</v>
      </c>
      <c r="I146" s="76" t="s">
        <v>583</v>
      </c>
      <c r="J146" s="76" t="s">
        <v>2538</v>
      </c>
      <c r="K146" s="179"/>
    </row>
    <row r="147" spans="1:11" ht="15.6">
      <c r="A147" s="130">
        <v>45883</v>
      </c>
      <c r="B147" s="76" t="s">
        <v>2361</v>
      </c>
      <c r="C147" s="129" t="s">
        <v>172</v>
      </c>
      <c r="D147" s="129" t="s">
        <v>118</v>
      </c>
      <c r="E147" s="223">
        <v>25000</v>
      </c>
      <c r="F147" s="224"/>
      <c r="G147" s="221"/>
      <c r="H147" s="223">
        <f t="shared" si="2"/>
        <v>40500</v>
      </c>
      <c r="I147" s="91" t="s">
        <v>583</v>
      </c>
      <c r="J147" s="131" t="s">
        <v>2362</v>
      </c>
      <c r="K147" s="179"/>
    </row>
    <row r="148" spans="1:11" ht="15.6">
      <c r="A148" s="130">
        <v>45883</v>
      </c>
      <c r="B148" s="76" t="s">
        <v>2361</v>
      </c>
      <c r="C148" s="129" t="s">
        <v>172</v>
      </c>
      <c r="D148" s="129" t="s">
        <v>118</v>
      </c>
      <c r="E148" s="223"/>
      <c r="F148" s="224">
        <v>25000</v>
      </c>
      <c r="G148" s="221"/>
      <c r="H148" s="223">
        <f t="shared" si="2"/>
        <v>15500</v>
      </c>
      <c r="I148" s="91" t="s">
        <v>583</v>
      </c>
      <c r="J148" s="131" t="s">
        <v>2362</v>
      </c>
      <c r="K148" s="179"/>
    </row>
    <row r="149" spans="1:11" ht="15.6">
      <c r="A149" s="484">
        <v>45884</v>
      </c>
      <c r="B149" s="226" t="s">
        <v>2512</v>
      </c>
      <c r="C149" s="76" t="s">
        <v>174</v>
      </c>
      <c r="D149" s="76" t="s">
        <v>118</v>
      </c>
      <c r="E149" s="223"/>
      <c r="F149" s="224">
        <v>1500</v>
      </c>
      <c r="G149" s="221"/>
      <c r="H149" s="223">
        <f t="shared" si="2"/>
        <v>14000</v>
      </c>
      <c r="I149" s="76" t="s">
        <v>583</v>
      </c>
      <c r="J149" s="76" t="s">
        <v>2536</v>
      </c>
      <c r="K149" s="179"/>
    </row>
    <row r="150" spans="1:11" ht="15.6">
      <c r="A150" s="484">
        <v>45884</v>
      </c>
      <c r="B150" s="226" t="s">
        <v>2513</v>
      </c>
      <c r="C150" s="76" t="s">
        <v>174</v>
      </c>
      <c r="D150" s="76" t="s">
        <v>118</v>
      </c>
      <c r="E150" s="223"/>
      <c r="F150" s="224">
        <v>1500</v>
      </c>
      <c r="G150" s="221"/>
      <c r="H150" s="223">
        <f t="shared" si="2"/>
        <v>12500</v>
      </c>
      <c r="I150" s="76" t="s">
        <v>583</v>
      </c>
      <c r="J150" s="76" t="s">
        <v>2536</v>
      </c>
      <c r="K150" s="179"/>
    </row>
    <row r="151" spans="1:11" ht="15.6">
      <c r="A151" s="484">
        <v>45887</v>
      </c>
      <c r="B151" s="226" t="s">
        <v>2514</v>
      </c>
      <c r="C151" s="76" t="s">
        <v>174</v>
      </c>
      <c r="D151" s="76" t="s">
        <v>118</v>
      </c>
      <c r="E151" s="223"/>
      <c r="F151" s="224">
        <v>1000</v>
      </c>
      <c r="G151" s="221"/>
      <c r="H151" s="223">
        <f t="shared" si="2"/>
        <v>11500</v>
      </c>
      <c r="I151" s="76" t="s">
        <v>583</v>
      </c>
      <c r="J151" s="76" t="s">
        <v>2536</v>
      </c>
      <c r="K151" s="179"/>
    </row>
    <row r="152" spans="1:11" ht="15.6">
      <c r="A152" s="484">
        <v>45887</v>
      </c>
      <c r="B152" s="226" t="s">
        <v>2515</v>
      </c>
      <c r="C152" s="76" t="s">
        <v>174</v>
      </c>
      <c r="D152" s="76" t="s">
        <v>118</v>
      </c>
      <c r="E152" s="223"/>
      <c r="F152" s="224">
        <v>1000</v>
      </c>
      <c r="G152" s="221"/>
      <c r="H152" s="223">
        <f t="shared" si="2"/>
        <v>10500</v>
      </c>
      <c r="I152" s="76" t="s">
        <v>583</v>
      </c>
      <c r="J152" s="76" t="s">
        <v>2536</v>
      </c>
      <c r="K152" s="179"/>
    </row>
    <row r="153" spans="1:11" ht="15.6">
      <c r="A153" s="484">
        <v>45887</v>
      </c>
      <c r="B153" s="226" t="s">
        <v>2516</v>
      </c>
      <c r="C153" s="76" t="s">
        <v>174</v>
      </c>
      <c r="D153" s="76" t="s">
        <v>118</v>
      </c>
      <c r="E153" s="223"/>
      <c r="F153" s="224">
        <v>1000</v>
      </c>
      <c r="G153" s="221"/>
      <c r="H153" s="223">
        <f t="shared" si="2"/>
        <v>9500</v>
      </c>
      <c r="I153" s="76" t="s">
        <v>583</v>
      </c>
      <c r="J153" s="76" t="s">
        <v>2536</v>
      </c>
      <c r="K153" s="179"/>
    </row>
    <row r="154" spans="1:11" ht="15.6">
      <c r="A154" s="484">
        <v>45887</v>
      </c>
      <c r="B154" s="76" t="s">
        <v>2517</v>
      </c>
      <c r="C154" s="225" t="s">
        <v>152</v>
      </c>
      <c r="D154" s="76" t="s">
        <v>119</v>
      </c>
      <c r="E154" s="223">
        <v>10000</v>
      </c>
      <c r="F154" s="224"/>
      <c r="G154" s="221"/>
      <c r="H154" s="223">
        <f t="shared" si="2"/>
        <v>19500</v>
      </c>
      <c r="I154" s="76" t="s">
        <v>583</v>
      </c>
      <c r="J154" s="76" t="s">
        <v>2539</v>
      </c>
      <c r="K154" s="179"/>
    </row>
    <row r="155" spans="1:11" ht="15.6">
      <c r="A155" s="484">
        <v>45887</v>
      </c>
      <c r="B155" s="76" t="s">
        <v>2517</v>
      </c>
      <c r="C155" s="225" t="s">
        <v>152</v>
      </c>
      <c r="D155" s="76" t="s">
        <v>119</v>
      </c>
      <c r="E155" s="223"/>
      <c r="F155" s="224">
        <v>10000</v>
      </c>
      <c r="G155" s="224"/>
      <c r="H155" s="223">
        <f t="shared" si="2"/>
        <v>9500</v>
      </c>
      <c r="I155" s="76" t="s">
        <v>583</v>
      </c>
      <c r="J155" s="76" t="s">
        <v>2539</v>
      </c>
      <c r="K155" s="179"/>
    </row>
    <row r="156" spans="1:11" ht="15.6">
      <c r="A156" s="484">
        <v>45888</v>
      </c>
      <c r="B156" s="226" t="s">
        <v>2518</v>
      </c>
      <c r="C156" s="76" t="s">
        <v>174</v>
      </c>
      <c r="D156" s="76" t="s">
        <v>118</v>
      </c>
      <c r="E156" s="223"/>
      <c r="F156" s="224">
        <v>1000</v>
      </c>
      <c r="G156" s="224"/>
      <c r="H156" s="223">
        <f t="shared" si="2"/>
        <v>8500</v>
      </c>
      <c r="I156" s="76" t="s">
        <v>583</v>
      </c>
      <c r="J156" s="76" t="s">
        <v>2536</v>
      </c>
      <c r="K156" s="179"/>
    </row>
    <row r="157" spans="1:11" ht="15.6">
      <c r="A157" s="484">
        <v>45888</v>
      </c>
      <c r="B157" s="226" t="s">
        <v>2519</v>
      </c>
      <c r="C157" s="76" t="s">
        <v>174</v>
      </c>
      <c r="D157" s="76" t="s">
        <v>118</v>
      </c>
      <c r="E157" s="223"/>
      <c r="F157" s="224">
        <v>1000</v>
      </c>
      <c r="G157" s="224"/>
      <c r="H157" s="223">
        <f t="shared" si="2"/>
        <v>7500</v>
      </c>
      <c r="I157" s="76" t="s">
        <v>583</v>
      </c>
      <c r="J157" s="76" t="s">
        <v>2536</v>
      </c>
      <c r="K157" s="179"/>
    </row>
    <row r="158" spans="1:11" ht="15.6">
      <c r="A158" s="484">
        <v>45888</v>
      </c>
      <c r="B158" s="226" t="s">
        <v>2520</v>
      </c>
      <c r="C158" s="76" t="s">
        <v>174</v>
      </c>
      <c r="D158" s="76" t="s">
        <v>118</v>
      </c>
      <c r="E158" s="223"/>
      <c r="F158" s="224">
        <v>1000</v>
      </c>
      <c r="G158" s="224"/>
      <c r="H158" s="223">
        <f t="shared" si="2"/>
        <v>6500</v>
      </c>
      <c r="I158" s="76" t="s">
        <v>583</v>
      </c>
      <c r="J158" s="76" t="s">
        <v>2536</v>
      </c>
      <c r="K158" s="179"/>
    </row>
    <row r="159" spans="1:11" ht="15.6">
      <c r="A159" s="484">
        <v>45888</v>
      </c>
      <c r="B159" s="226" t="s">
        <v>2521</v>
      </c>
      <c r="C159" s="76" t="s">
        <v>174</v>
      </c>
      <c r="D159" s="76" t="s">
        <v>118</v>
      </c>
      <c r="E159" s="223"/>
      <c r="F159" s="224">
        <v>1000</v>
      </c>
      <c r="G159" s="221"/>
      <c r="H159" s="223">
        <f t="shared" si="2"/>
        <v>5500</v>
      </c>
      <c r="I159" s="76" t="s">
        <v>583</v>
      </c>
      <c r="J159" s="76" t="s">
        <v>2536</v>
      </c>
      <c r="K159" s="179"/>
    </row>
    <row r="160" spans="1:11" ht="15.6">
      <c r="A160" s="484">
        <v>45888</v>
      </c>
      <c r="B160" s="226" t="s">
        <v>2522</v>
      </c>
      <c r="C160" s="76" t="s">
        <v>174</v>
      </c>
      <c r="D160" s="76" t="s">
        <v>118</v>
      </c>
      <c r="E160" s="223"/>
      <c r="F160" s="224">
        <v>1000</v>
      </c>
      <c r="G160" s="224"/>
      <c r="H160" s="223">
        <f t="shared" si="2"/>
        <v>4500</v>
      </c>
      <c r="I160" s="76" t="s">
        <v>583</v>
      </c>
      <c r="J160" s="76" t="s">
        <v>2536</v>
      </c>
      <c r="K160" s="179"/>
    </row>
    <row r="161" spans="1:11" ht="15.6">
      <c r="A161" s="130">
        <v>45888</v>
      </c>
      <c r="B161" s="453" t="s">
        <v>2382</v>
      </c>
      <c r="C161" s="453" t="s">
        <v>127</v>
      </c>
      <c r="D161" s="453" t="s">
        <v>117</v>
      </c>
      <c r="E161" s="221">
        <v>10500</v>
      </c>
      <c r="F161" s="224"/>
      <c r="G161" s="221"/>
      <c r="H161" s="223">
        <f t="shared" si="2"/>
        <v>15000</v>
      </c>
      <c r="I161" s="76" t="s">
        <v>583</v>
      </c>
      <c r="J161" s="129" t="s">
        <v>2383</v>
      </c>
      <c r="K161" s="179"/>
    </row>
    <row r="162" spans="1:11" s="436" customFormat="1" ht="15.6">
      <c r="A162" s="506">
        <v>45888</v>
      </c>
      <c r="B162" s="182" t="s">
        <v>2944</v>
      </c>
      <c r="C162" s="182" t="s">
        <v>172</v>
      </c>
      <c r="D162" s="182" t="s">
        <v>118</v>
      </c>
      <c r="E162" s="435">
        <v>11000</v>
      </c>
      <c r="F162" s="221"/>
      <c r="G162" s="221"/>
      <c r="H162" s="228">
        <f t="shared" si="2"/>
        <v>26000</v>
      </c>
      <c r="I162" s="131" t="s">
        <v>583</v>
      </c>
      <c r="J162" s="129" t="s">
        <v>2385</v>
      </c>
      <c r="K162" s="179"/>
    </row>
    <row r="163" spans="1:11" s="436" customFormat="1" ht="15.6">
      <c r="A163" s="506">
        <v>45888</v>
      </c>
      <c r="B163" s="182" t="s">
        <v>2945</v>
      </c>
      <c r="C163" s="182" t="s">
        <v>172</v>
      </c>
      <c r="D163" s="182" t="s">
        <v>118</v>
      </c>
      <c r="E163" s="435">
        <v>5000</v>
      </c>
      <c r="F163" s="221"/>
      <c r="G163" s="221"/>
      <c r="H163" s="228">
        <f t="shared" si="2"/>
        <v>31000</v>
      </c>
      <c r="I163" s="131" t="s">
        <v>583</v>
      </c>
      <c r="J163" s="129" t="s">
        <v>2385</v>
      </c>
      <c r="K163" s="179"/>
    </row>
    <row r="164" spans="1:11" s="436" customFormat="1" ht="15.6">
      <c r="A164" s="506">
        <v>45888</v>
      </c>
      <c r="B164" s="182" t="s">
        <v>2954</v>
      </c>
      <c r="C164" s="182" t="s">
        <v>172</v>
      </c>
      <c r="D164" s="182" t="s">
        <v>118</v>
      </c>
      <c r="E164" s="435">
        <v>11700</v>
      </c>
      <c r="F164" s="221"/>
      <c r="G164" s="221"/>
      <c r="H164" s="228">
        <f t="shared" si="2"/>
        <v>42700</v>
      </c>
      <c r="I164" s="131" t="s">
        <v>583</v>
      </c>
      <c r="J164" s="129" t="s">
        <v>2385</v>
      </c>
      <c r="K164" s="179"/>
    </row>
    <row r="165" spans="1:11" s="436" customFormat="1" ht="15.6">
      <c r="A165" s="506">
        <v>45888</v>
      </c>
      <c r="B165" s="182" t="s">
        <v>2946</v>
      </c>
      <c r="C165" s="182" t="s">
        <v>172</v>
      </c>
      <c r="D165" s="182" t="s">
        <v>118</v>
      </c>
      <c r="E165" s="435">
        <v>2500</v>
      </c>
      <c r="F165" s="221"/>
      <c r="G165" s="221"/>
      <c r="H165" s="228">
        <f t="shared" si="2"/>
        <v>45200</v>
      </c>
      <c r="I165" s="131" t="s">
        <v>583</v>
      </c>
      <c r="J165" s="129" t="s">
        <v>2385</v>
      </c>
      <c r="K165" s="179"/>
    </row>
    <row r="166" spans="1:11" s="436" customFormat="1" ht="15.6">
      <c r="A166" s="506">
        <v>45888</v>
      </c>
      <c r="B166" s="182" t="s">
        <v>2947</v>
      </c>
      <c r="C166" s="182" t="s">
        <v>172</v>
      </c>
      <c r="D166" s="182" t="s">
        <v>118</v>
      </c>
      <c r="E166" s="435">
        <v>3500</v>
      </c>
      <c r="F166" s="221"/>
      <c r="G166" s="221"/>
      <c r="H166" s="228">
        <f t="shared" si="2"/>
        <v>48700</v>
      </c>
      <c r="I166" s="131" t="s">
        <v>583</v>
      </c>
      <c r="J166" s="129" t="s">
        <v>2385</v>
      </c>
      <c r="K166" s="179"/>
    </row>
    <row r="167" spans="1:11" s="436" customFormat="1" ht="15.6">
      <c r="A167" s="506">
        <v>45888</v>
      </c>
      <c r="B167" s="182" t="s">
        <v>2948</v>
      </c>
      <c r="C167" s="182" t="s">
        <v>172</v>
      </c>
      <c r="D167" s="182" t="s">
        <v>118</v>
      </c>
      <c r="E167" s="435">
        <v>2750</v>
      </c>
      <c r="F167" s="221"/>
      <c r="G167" s="221"/>
      <c r="H167" s="228">
        <f t="shared" si="2"/>
        <v>51450</v>
      </c>
      <c r="I167" s="131" t="s">
        <v>583</v>
      </c>
      <c r="J167" s="129" t="s">
        <v>2385</v>
      </c>
      <c r="K167" s="179"/>
    </row>
    <row r="168" spans="1:11" s="436" customFormat="1" ht="15.6">
      <c r="A168" s="506">
        <v>45888</v>
      </c>
      <c r="B168" s="182" t="s">
        <v>2949</v>
      </c>
      <c r="C168" s="182" t="s">
        <v>172</v>
      </c>
      <c r="D168" s="182" t="s">
        <v>118</v>
      </c>
      <c r="E168" s="435">
        <v>3500</v>
      </c>
      <c r="F168" s="221"/>
      <c r="G168" s="221"/>
      <c r="H168" s="228">
        <f t="shared" si="2"/>
        <v>54950</v>
      </c>
      <c r="I168" s="131" t="s">
        <v>583</v>
      </c>
      <c r="J168" s="129" t="s">
        <v>2385</v>
      </c>
      <c r="K168" s="179"/>
    </row>
    <row r="169" spans="1:11" s="436" customFormat="1" ht="15.6">
      <c r="A169" s="506">
        <v>45888</v>
      </c>
      <c r="B169" s="182" t="s">
        <v>2950</v>
      </c>
      <c r="C169" s="182" t="s">
        <v>172</v>
      </c>
      <c r="D169" s="182" t="s">
        <v>118</v>
      </c>
      <c r="E169" s="435">
        <v>1500</v>
      </c>
      <c r="F169" s="221"/>
      <c r="G169" s="221"/>
      <c r="H169" s="228">
        <f t="shared" si="2"/>
        <v>56450</v>
      </c>
      <c r="I169" s="131" t="s">
        <v>583</v>
      </c>
      <c r="J169" s="129" t="s">
        <v>2385</v>
      </c>
      <c r="K169" s="179"/>
    </row>
    <row r="170" spans="1:11" s="436" customFormat="1" ht="15.6">
      <c r="A170" s="506">
        <v>45888</v>
      </c>
      <c r="B170" s="182" t="s">
        <v>2951</v>
      </c>
      <c r="C170" s="182" t="s">
        <v>172</v>
      </c>
      <c r="D170" s="182" t="s">
        <v>118</v>
      </c>
      <c r="E170" s="435">
        <v>1900</v>
      </c>
      <c r="F170" s="221"/>
      <c r="G170" s="221"/>
      <c r="H170" s="228">
        <f t="shared" si="2"/>
        <v>58350</v>
      </c>
      <c r="I170" s="131" t="s">
        <v>583</v>
      </c>
      <c r="J170" s="129" t="s">
        <v>2385</v>
      </c>
      <c r="K170" s="179"/>
    </row>
    <row r="171" spans="1:11" s="436" customFormat="1" ht="15.6">
      <c r="A171" s="506">
        <v>45888</v>
      </c>
      <c r="B171" s="182" t="s">
        <v>2952</v>
      </c>
      <c r="C171" s="182" t="s">
        <v>172</v>
      </c>
      <c r="D171" s="182" t="s">
        <v>118</v>
      </c>
      <c r="E171" s="435">
        <v>3700</v>
      </c>
      <c r="F171" s="221"/>
      <c r="G171" s="221"/>
      <c r="H171" s="228">
        <f t="shared" si="2"/>
        <v>62050</v>
      </c>
      <c r="I171" s="131" t="s">
        <v>583</v>
      </c>
      <c r="J171" s="129" t="s">
        <v>2385</v>
      </c>
      <c r="K171" s="179"/>
    </row>
    <row r="172" spans="1:11" s="436" customFormat="1" ht="15.6">
      <c r="A172" s="506">
        <v>45888</v>
      </c>
      <c r="B172" s="182" t="s">
        <v>2953</v>
      </c>
      <c r="C172" s="182" t="s">
        <v>172</v>
      </c>
      <c r="D172" s="182" t="s">
        <v>118</v>
      </c>
      <c r="E172" s="435">
        <v>3500</v>
      </c>
      <c r="F172" s="221"/>
      <c r="G172" s="221"/>
      <c r="H172" s="228">
        <f t="shared" si="2"/>
        <v>65550</v>
      </c>
      <c r="I172" s="131" t="s">
        <v>583</v>
      </c>
      <c r="J172" s="129" t="s">
        <v>2385</v>
      </c>
      <c r="K172" s="179"/>
    </row>
    <row r="173" spans="1:11" s="436" customFormat="1" ht="15.6">
      <c r="A173" s="506">
        <v>45888</v>
      </c>
      <c r="B173" s="182" t="s">
        <v>2955</v>
      </c>
      <c r="C173" s="182" t="s">
        <v>172</v>
      </c>
      <c r="D173" s="182" t="s">
        <v>118</v>
      </c>
      <c r="E173" s="435">
        <v>2000</v>
      </c>
      <c r="F173" s="221"/>
      <c r="G173" s="221"/>
      <c r="H173" s="228">
        <f t="shared" si="2"/>
        <v>67550</v>
      </c>
      <c r="I173" s="131" t="s">
        <v>583</v>
      </c>
      <c r="J173" s="129" t="s">
        <v>2385</v>
      </c>
      <c r="K173" s="179"/>
    </row>
    <row r="174" spans="1:11" s="436" customFormat="1" ht="15.6">
      <c r="A174" s="130">
        <v>45888</v>
      </c>
      <c r="B174" s="147" t="s">
        <v>2382</v>
      </c>
      <c r="C174" s="147" t="s">
        <v>127</v>
      </c>
      <c r="D174" s="147" t="s">
        <v>117</v>
      </c>
      <c r="E174" s="228"/>
      <c r="F174" s="221">
        <v>10500</v>
      </c>
      <c r="G174" s="221"/>
      <c r="H174" s="228">
        <f t="shared" si="2"/>
        <v>57050</v>
      </c>
      <c r="I174" s="129" t="s">
        <v>583</v>
      </c>
      <c r="J174" s="129" t="s">
        <v>2383</v>
      </c>
      <c r="K174" s="179"/>
    </row>
    <row r="175" spans="1:11" s="436" customFormat="1" ht="15.6">
      <c r="A175" s="506">
        <v>45888</v>
      </c>
      <c r="B175" s="182" t="s">
        <v>2944</v>
      </c>
      <c r="C175" s="182" t="s">
        <v>172</v>
      </c>
      <c r="D175" s="182" t="s">
        <v>118</v>
      </c>
      <c r="E175" s="228"/>
      <c r="F175" s="435">
        <v>11000</v>
      </c>
      <c r="G175" s="221"/>
      <c r="H175" s="228">
        <f t="shared" si="2"/>
        <v>46050</v>
      </c>
      <c r="I175" s="131" t="s">
        <v>583</v>
      </c>
      <c r="J175" s="129" t="s">
        <v>2385</v>
      </c>
      <c r="K175" s="179"/>
    </row>
    <row r="176" spans="1:11" s="436" customFormat="1" ht="15.6">
      <c r="A176" s="506">
        <v>45888</v>
      </c>
      <c r="B176" s="182" t="s">
        <v>2945</v>
      </c>
      <c r="C176" s="182" t="s">
        <v>172</v>
      </c>
      <c r="D176" s="182" t="s">
        <v>118</v>
      </c>
      <c r="E176" s="228"/>
      <c r="F176" s="435">
        <v>5000</v>
      </c>
      <c r="G176" s="221"/>
      <c r="H176" s="228">
        <f t="shared" si="2"/>
        <v>41050</v>
      </c>
      <c r="I176" s="131" t="s">
        <v>583</v>
      </c>
      <c r="J176" s="129" t="s">
        <v>2385</v>
      </c>
      <c r="K176" s="179"/>
    </row>
    <row r="177" spans="1:11" s="436" customFormat="1" ht="15.6">
      <c r="A177" s="506">
        <v>45888</v>
      </c>
      <c r="B177" s="182" t="s">
        <v>2954</v>
      </c>
      <c r="C177" s="182" t="s">
        <v>172</v>
      </c>
      <c r="D177" s="182" t="s">
        <v>118</v>
      </c>
      <c r="E177" s="228"/>
      <c r="F177" s="435">
        <v>11700</v>
      </c>
      <c r="G177" s="221"/>
      <c r="H177" s="228">
        <f t="shared" si="2"/>
        <v>29350</v>
      </c>
      <c r="I177" s="131" t="s">
        <v>583</v>
      </c>
      <c r="J177" s="129" t="s">
        <v>2385</v>
      </c>
      <c r="K177" s="179"/>
    </row>
    <row r="178" spans="1:11" s="436" customFormat="1" ht="15.6">
      <c r="A178" s="506">
        <v>45888</v>
      </c>
      <c r="B178" s="182" t="s">
        <v>2946</v>
      </c>
      <c r="C178" s="182" t="s">
        <v>172</v>
      </c>
      <c r="D178" s="182" t="s">
        <v>118</v>
      </c>
      <c r="E178" s="228"/>
      <c r="F178" s="435">
        <v>2500</v>
      </c>
      <c r="G178" s="221"/>
      <c r="H178" s="228">
        <f t="shared" si="2"/>
        <v>26850</v>
      </c>
      <c r="I178" s="131" t="s">
        <v>583</v>
      </c>
      <c r="J178" s="129" t="s">
        <v>2385</v>
      </c>
      <c r="K178" s="179"/>
    </row>
    <row r="179" spans="1:11" s="436" customFormat="1" ht="15.6">
      <c r="A179" s="506">
        <v>45888</v>
      </c>
      <c r="B179" s="182" t="s">
        <v>2947</v>
      </c>
      <c r="C179" s="182" t="s">
        <v>172</v>
      </c>
      <c r="D179" s="182" t="s">
        <v>118</v>
      </c>
      <c r="E179" s="228"/>
      <c r="F179" s="435">
        <v>3500</v>
      </c>
      <c r="G179" s="221"/>
      <c r="H179" s="228">
        <f t="shared" si="2"/>
        <v>23350</v>
      </c>
      <c r="I179" s="131" t="s">
        <v>583</v>
      </c>
      <c r="J179" s="129" t="s">
        <v>2385</v>
      </c>
      <c r="K179" s="179"/>
    </row>
    <row r="180" spans="1:11" s="436" customFormat="1" ht="15.6">
      <c r="A180" s="506">
        <v>45888</v>
      </c>
      <c r="B180" s="182" t="s">
        <v>2948</v>
      </c>
      <c r="C180" s="182" t="s">
        <v>172</v>
      </c>
      <c r="D180" s="182" t="s">
        <v>118</v>
      </c>
      <c r="E180" s="228"/>
      <c r="F180" s="435">
        <v>2750</v>
      </c>
      <c r="G180" s="221"/>
      <c r="H180" s="228">
        <f t="shared" si="2"/>
        <v>20600</v>
      </c>
      <c r="I180" s="131" t="s">
        <v>583</v>
      </c>
      <c r="J180" s="129" t="s">
        <v>2385</v>
      </c>
      <c r="K180" s="179"/>
    </row>
    <row r="181" spans="1:11" s="436" customFormat="1" ht="15.6">
      <c r="A181" s="506">
        <v>45888</v>
      </c>
      <c r="B181" s="182" t="s">
        <v>2949</v>
      </c>
      <c r="C181" s="182" t="s">
        <v>172</v>
      </c>
      <c r="D181" s="182" t="s">
        <v>118</v>
      </c>
      <c r="E181" s="228"/>
      <c r="F181" s="435">
        <v>3500</v>
      </c>
      <c r="G181" s="221"/>
      <c r="H181" s="228">
        <f t="shared" si="2"/>
        <v>17100</v>
      </c>
      <c r="I181" s="131" t="s">
        <v>583</v>
      </c>
      <c r="J181" s="129" t="s">
        <v>2385</v>
      </c>
      <c r="K181" s="179"/>
    </row>
    <row r="182" spans="1:11" s="436" customFormat="1" ht="15.6">
      <c r="A182" s="506">
        <v>45888</v>
      </c>
      <c r="B182" s="182" t="s">
        <v>2950</v>
      </c>
      <c r="C182" s="182" t="s">
        <v>172</v>
      </c>
      <c r="D182" s="182" t="s">
        <v>118</v>
      </c>
      <c r="E182" s="228"/>
      <c r="F182" s="435">
        <v>1500</v>
      </c>
      <c r="G182" s="221"/>
      <c r="H182" s="228">
        <f t="shared" si="2"/>
        <v>15600</v>
      </c>
      <c r="I182" s="131" t="s">
        <v>583</v>
      </c>
      <c r="J182" s="129" t="s">
        <v>2385</v>
      </c>
      <c r="K182" s="179"/>
    </row>
    <row r="183" spans="1:11" s="436" customFormat="1" ht="15.6">
      <c r="A183" s="506">
        <v>45888</v>
      </c>
      <c r="B183" s="182" t="s">
        <v>2951</v>
      </c>
      <c r="C183" s="182" t="s">
        <v>172</v>
      </c>
      <c r="D183" s="182" t="s">
        <v>118</v>
      </c>
      <c r="E183" s="228"/>
      <c r="F183" s="435">
        <v>1900</v>
      </c>
      <c r="G183" s="221"/>
      <c r="H183" s="228">
        <f t="shared" si="2"/>
        <v>13700</v>
      </c>
      <c r="I183" s="131" t="s">
        <v>583</v>
      </c>
      <c r="J183" s="129" t="s">
        <v>2385</v>
      </c>
      <c r="K183" s="179"/>
    </row>
    <row r="184" spans="1:11" s="436" customFormat="1" ht="15.6">
      <c r="A184" s="506">
        <v>45888</v>
      </c>
      <c r="B184" s="182" t="s">
        <v>2952</v>
      </c>
      <c r="C184" s="182" t="s">
        <v>172</v>
      </c>
      <c r="D184" s="182" t="s">
        <v>118</v>
      </c>
      <c r="E184" s="228"/>
      <c r="F184" s="435">
        <v>3700</v>
      </c>
      <c r="G184" s="221"/>
      <c r="H184" s="228">
        <f t="shared" si="2"/>
        <v>10000</v>
      </c>
      <c r="I184" s="131" t="s">
        <v>583</v>
      </c>
      <c r="J184" s="129" t="s">
        <v>2385</v>
      </c>
      <c r="K184" s="179"/>
    </row>
    <row r="185" spans="1:11" s="436" customFormat="1" ht="15.6">
      <c r="A185" s="506">
        <v>45888</v>
      </c>
      <c r="B185" s="182" t="s">
        <v>2953</v>
      </c>
      <c r="C185" s="182" t="s">
        <v>172</v>
      </c>
      <c r="D185" s="182" t="s">
        <v>118</v>
      </c>
      <c r="E185" s="228"/>
      <c r="F185" s="435">
        <v>3500</v>
      </c>
      <c r="G185" s="221"/>
      <c r="H185" s="228">
        <f t="shared" si="2"/>
        <v>6500</v>
      </c>
      <c r="I185" s="131" t="s">
        <v>583</v>
      </c>
      <c r="J185" s="129" t="s">
        <v>2385</v>
      </c>
      <c r="K185" s="179"/>
    </row>
    <row r="186" spans="1:11" s="436" customFormat="1" ht="15.6">
      <c r="A186" s="506">
        <v>45888</v>
      </c>
      <c r="B186" s="182" t="s">
        <v>2955</v>
      </c>
      <c r="C186" s="182" t="s">
        <v>172</v>
      </c>
      <c r="D186" s="182" t="s">
        <v>118</v>
      </c>
      <c r="E186" s="228"/>
      <c r="F186" s="435">
        <v>2000</v>
      </c>
      <c r="G186" s="221"/>
      <c r="H186" s="228">
        <f t="shared" si="2"/>
        <v>4500</v>
      </c>
      <c r="I186" s="131" t="s">
        <v>583</v>
      </c>
      <c r="J186" s="129" t="s">
        <v>2385</v>
      </c>
      <c r="K186" s="179"/>
    </row>
    <row r="187" spans="1:11" s="436" customFormat="1" ht="15.6">
      <c r="A187" s="484">
        <v>45889</v>
      </c>
      <c r="B187" s="129" t="s">
        <v>2523</v>
      </c>
      <c r="C187" s="129" t="s">
        <v>174</v>
      </c>
      <c r="D187" s="129" t="s">
        <v>118</v>
      </c>
      <c r="E187" s="228"/>
      <c r="F187" s="221">
        <v>500</v>
      </c>
      <c r="G187" s="221"/>
      <c r="H187" s="228">
        <f t="shared" si="2"/>
        <v>4000</v>
      </c>
      <c r="I187" s="129" t="s">
        <v>583</v>
      </c>
      <c r="J187" s="129" t="s">
        <v>2536</v>
      </c>
      <c r="K187" s="179"/>
    </row>
    <row r="188" spans="1:11" s="436" customFormat="1" ht="15.6">
      <c r="A188" s="484">
        <v>45889</v>
      </c>
      <c r="B188" s="129" t="s">
        <v>2524</v>
      </c>
      <c r="C188" s="129" t="s">
        <v>174</v>
      </c>
      <c r="D188" s="129" t="s">
        <v>118</v>
      </c>
      <c r="E188" s="228"/>
      <c r="F188" s="221">
        <v>500</v>
      </c>
      <c r="G188" s="221"/>
      <c r="H188" s="228">
        <f t="shared" si="2"/>
        <v>3500</v>
      </c>
      <c r="I188" s="129" t="s">
        <v>583</v>
      </c>
      <c r="J188" s="129" t="s">
        <v>2536</v>
      </c>
      <c r="K188" s="179"/>
    </row>
    <row r="189" spans="1:11" s="436" customFormat="1" ht="15.6">
      <c r="A189" s="130">
        <v>45889</v>
      </c>
      <c r="B189" s="129" t="s">
        <v>2388</v>
      </c>
      <c r="C189" s="129" t="s">
        <v>182</v>
      </c>
      <c r="D189" s="129" t="s">
        <v>118</v>
      </c>
      <c r="E189" s="221">
        <v>3180</v>
      </c>
      <c r="F189" s="221"/>
      <c r="G189" s="221"/>
      <c r="H189" s="228">
        <f t="shared" si="2"/>
        <v>6680</v>
      </c>
      <c r="I189" s="129" t="s">
        <v>583</v>
      </c>
      <c r="J189" s="129" t="s">
        <v>2389</v>
      </c>
      <c r="K189" s="179"/>
    </row>
    <row r="190" spans="1:11" s="436" customFormat="1" ht="15.6">
      <c r="A190" s="130">
        <v>45889</v>
      </c>
      <c r="B190" s="129" t="s">
        <v>2388</v>
      </c>
      <c r="C190" s="129" t="s">
        <v>182</v>
      </c>
      <c r="D190" s="129" t="s">
        <v>118</v>
      </c>
      <c r="E190" s="228"/>
      <c r="F190" s="221">
        <v>3180</v>
      </c>
      <c r="G190" s="221"/>
      <c r="H190" s="228">
        <f t="shared" si="2"/>
        <v>3500</v>
      </c>
      <c r="I190" s="129" t="s">
        <v>583</v>
      </c>
      <c r="J190" s="129" t="s">
        <v>2389</v>
      </c>
      <c r="K190" s="179"/>
    </row>
    <row r="191" spans="1:11" s="436" customFormat="1" ht="15.6">
      <c r="A191" s="484">
        <v>45890</v>
      </c>
      <c r="B191" s="184" t="s">
        <v>2153</v>
      </c>
      <c r="C191" s="129" t="s">
        <v>174</v>
      </c>
      <c r="D191" s="129" t="s">
        <v>118</v>
      </c>
      <c r="E191" s="228"/>
      <c r="F191" s="221">
        <v>1000</v>
      </c>
      <c r="G191" s="221"/>
      <c r="H191" s="228">
        <f t="shared" si="2"/>
        <v>2500</v>
      </c>
      <c r="I191" s="129" t="s">
        <v>583</v>
      </c>
      <c r="J191" s="129" t="s">
        <v>2536</v>
      </c>
      <c r="K191" s="179"/>
    </row>
    <row r="192" spans="1:11" s="436" customFormat="1" ht="15.6">
      <c r="A192" s="484">
        <v>45890</v>
      </c>
      <c r="B192" s="184" t="s">
        <v>2154</v>
      </c>
      <c r="C192" s="129" t="s">
        <v>174</v>
      </c>
      <c r="D192" s="129" t="s">
        <v>118</v>
      </c>
      <c r="E192" s="228"/>
      <c r="F192" s="221">
        <v>1000</v>
      </c>
      <c r="G192" s="221"/>
      <c r="H192" s="228">
        <f t="shared" si="2"/>
        <v>1500</v>
      </c>
      <c r="I192" s="129" t="s">
        <v>583</v>
      </c>
      <c r="J192" s="129" t="s">
        <v>2536</v>
      </c>
      <c r="K192" s="179"/>
    </row>
    <row r="193" spans="1:11" s="436" customFormat="1" ht="15.6">
      <c r="A193" s="484">
        <v>45891</v>
      </c>
      <c r="B193" s="129" t="s">
        <v>2525</v>
      </c>
      <c r="C193" s="129" t="s">
        <v>174</v>
      </c>
      <c r="D193" s="129" t="s">
        <v>118</v>
      </c>
      <c r="E193" s="228"/>
      <c r="F193" s="221">
        <v>1000</v>
      </c>
      <c r="G193" s="221"/>
      <c r="H193" s="228">
        <f t="shared" si="2"/>
        <v>500</v>
      </c>
      <c r="I193" s="129" t="s">
        <v>583</v>
      </c>
      <c r="J193" s="129" t="s">
        <v>2536</v>
      </c>
      <c r="K193" s="179"/>
    </row>
    <row r="194" spans="1:11" s="436" customFormat="1" ht="15.6">
      <c r="A194" s="484">
        <v>45891</v>
      </c>
      <c r="B194" s="129" t="s">
        <v>2526</v>
      </c>
      <c r="C194" s="129" t="s">
        <v>174</v>
      </c>
      <c r="D194" s="129" t="s">
        <v>118</v>
      </c>
      <c r="E194" s="228"/>
      <c r="F194" s="221">
        <v>1000</v>
      </c>
      <c r="G194" s="221"/>
      <c r="H194" s="228">
        <f t="shared" si="2"/>
        <v>-500</v>
      </c>
      <c r="I194" s="129" t="s">
        <v>583</v>
      </c>
      <c r="J194" s="129" t="s">
        <v>2536</v>
      </c>
      <c r="K194" s="179"/>
    </row>
    <row r="195" spans="1:11" s="436" customFormat="1" ht="15.6">
      <c r="A195" s="484">
        <v>45891</v>
      </c>
      <c r="B195" s="129" t="s">
        <v>2527</v>
      </c>
      <c r="C195" s="129" t="s">
        <v>174</v>
      </c>
      <c r="D195" s="129" t="s">
        <v>118</v>
      </c>
      <c r="E195" s="228"/>
      <c r="F195" s="221">
        <v>500</v>
      </c>
      <c r="G195" s="221"/>
      <c r="H195" s="228">
        <f t="shared" si="2"/>
        <v>-1000</v>
      </c>
      <c r="I195" s="129" t="s">
        <v>583</v>
      </c>
      <c r="J195" s="129" t="s">
        <v>2536</v>
      </c>
      <c r="K195" s="179"/>
    </row>
    <row r="196" spans="1:11" ht="15.6">
      <c r="A196" s="484">
        <v>45891</v>
      </c>
      <c r="B196" s="76" t="s">
        <v>2528</v>
      </c>
      <c r="C196" s="76" t="s">
        <v>174</v>
      </c>
      <c r="D196" s="76" t="s">
        <v>118</v>
      </c>
      <c r="E196" s="223"/>
      <c r="F196" s="224">
        <v>500</v>
      </c>
      <c r="G196" s="224"/>
      <c r="H196" s="223">
        <f t="shared" si="2"/>
        <v>-1500</v>
      </c>
      <c r="I196" s="76" t="s">
        <v>583</v>
      </c>
      <c r="J196" s="76" t="s">
        <v>2536</v>
      </c>
      <c r="K196" s="179"/>
    </row>
    <row r="197" spans="1:11" ht="15.6">
      <c r="A197" s="484">
        <v>45891</v>
      </c>
      <c r="B197" s="76" t="s">
        <v>2529</v>
      </c>
      <c r="C197" s="76" t="s">
        <v>174</v>
      </c>
      <c r="D197" s="76" t="s">
        <v>118</v>
      </c>
      <c r="E197" s="223"/>
      <c r="F197" s="224">
        <v>500</v>
      </c>
      <c r="G197" s="224"/>
      <c r="H197" s="223">
        <f t="shared" si="2"/>
        <v>-2000</v>
      </c>
      <c r="I197" s="76" t="s">
        <v>583</v>
      </c>
      <c r="J197" s="76" t="s">
        <v>2536</v>
      </c>
      <c r="K197" s="179"/>
    </row>
    <row r="198" spans="1:11" ht="15.6">
      <c r="A198" s="484">
        <v>45891</v>
      </c>
      <c r="B198" s="76" t="s">
        <v>649</v>
      </c>
      <c r="C198" s="246" t="s">
        <v>124</v>
      </c>
      <c r="D198" s="76" t="s">
        <v>118</v>
      </c>
      <c r="E198" s="223">
        <v>20000</v>
      </c>
      <c r="F198" s="224"/>
      <c r="G198" s="224"/>
      <c r="H198" s="223">
        <f t="shared" si="2"/>
        <v>18000</v>
      </c>
      <c r="I198" s="76" t="s">
        <v>583</v>
      </c>
      <c r="J198" s="76" t="s">
        <v>2540</v>
      </c>
      <c r="K198" s="179"/>
    </row>
    <row r="199" spans="1:11" ht="15.6">
      <c r="A199" s="130">
        <v>45891</v>
      </c>
      <c r="B199" s="129" t="s">
        <v>2398</v>
      </c>
      <c r="C199" s="76" t="s">
        <v>182</v>
      </c>
      <c r="D199" s="76" t="s">
        <v>118</v>
      </c>
      <c r="E199" s="221">
        <v>31890</v>
      </c>
      <c r="F199" s="224"/>
      <c r="G199" s="224"/>
      <c r="H199" s="223">
        <f t="shared" si="2"/>
        <v>49890</v>
      </c>
      <c r="I199" s="76" t="s">
        <v>583</v>
      </c>
      <c r="J199" s="129" t="s">
        <v>2399</v>
      </c>
      <c r="K199" s="179"/>
    </row>
    <row r="200" spans="1:11" ht="15.6">
      <c r="A200" s="130">
        <v>45891</v>
      </c>
      <c r="B200" s="129" t="s">
        <v>2398</v>
      </c>
      <c r="C200" s="76" t="s">
        <v>182</v>
      </c>
      <c r="D200" s="76" t="s">
        <v>118</v>
      </c>
      <c r="E200" s="223"/>
      <c r="F200" s="221">
        <v>31890</v>
      </c>
      <c r="G200" s="224"/>
      <c r="H200" s="223">
        <f t="shared" si="2"/>
        <v>18000</v>
      </c>
      <c r="I200" s="76" t="s">
        <v>583</v>
      </c>
      <c r="J200" s="129" t="s">
        <v>2399</v>
      </c>
      <c r="K200" s="179"/>
    </row>
    <row r="201" spans="1:11" ht="15.6">
      <c r="A201" s="484">
        <v>45894</v>
      </c>
      <c r="B201" s="226" t="s">
        <v>2530</v>
      </c>
      <c r="C201" s="76" t="s">
        <v>174</v>
      </c>
      <c r="D201" s="76" t="s">
        <v>118</v>
      </c>
      <c r="E201" s="223"/>
      <c r="F201" s="224">
        <v>1000</v>
      </c>
      <c r="G201" s="224"/>
      <c r="H201" s="223">
        <f t="shared" si="2"/>
        <v>17000</v>
      </c>
      <c r="I201" s="76" t="s">
        <v>583</v>
      </c>
      <c r="J201" s="76" t="s">
        <v>2536</v>
      </c>
      <c r="K201" s="179"/>
    </row>
    <row r="202" spans="1:11" ht="15.6">
      <c r="A202" s="484">
        <v>45894</v>
      </c>
      <c r="B202" s="226" t="s">
        <v>2531</v>
      </c>
      <c r="C202" s="76" t="s">
        <v>174</v>
      </c>
      <c r="D202" s="76" t="s">
        <v>118</v>
      </c>
      <c r="E202" s="223"/>
      <c r="F202" s="224">
        <v>1000</v>
      </c>
      <c r="G202" s="224"/>
      <c r="H202" s="223">
        <f t="shared" si="2"/>
        <v>16000</v>
      </c>
      <c r="I202" s="76" t="s">
        <v>583</v>
      </c>
      <c r="J202" s="76" t="s">
        <v>2536</v>
      </c>
      <c r="K202" s="179"/>
    </row>
    <row r="203" spans="1:11" ht="15.6">
      <c r="A203" s="484">
        <v>45894</v>
      </c>
      <c r="B203" s="226" t="s">
        <v>2532</v>
      </c>
      <c r="C203" s="76" t="s">
        <v>174</v>
      </c>
      <c r="D203" s="76" t="s">
        <v>118</v>
      </c>
      <c r="E203" s="223"/>
      <c r="F203" s="224">
        <v>1000</v>
      </c>
      <c r="G203" s="224"/>
      <c r="H203" s="223">
        <f t="shared" si="2"/>
        <v>15000</v>
      </c>
      <c r="I203" s="76" t="s">
        <v>583</v>
      </c>
      <c r="J203" s="76" t="s">
        <v>2536</v>
      </c>
      <c r="K203" s="179"/>
    </row>
    <row r="204" spans="1:11" ht="15.6">
      <c r="A204" s="130">
        <v>45894</v>
      </c>
      <c r="B204" s="129" t="s">
        <v>2408</v>
      </c>
      <c r="C204" s="76" t="s">
        <v>182</v>
      </c>
      <c r="D204" s="76" t="s">
        <v>118</v>
      </c>
      <c r="E204" s="221">
        <v>12985</v>
      </c>
      <c r="F204" s="224"/>
      <c r="G204" s="224"/>
      <c r="H204" s="223">
        <f t="shared" si="2"/>
        <v>27985</v>
      </c>
      <c r="I204" s="76" t="s">
        <v>583</v>
      </c>
      <c r="J204" s="129" t="s">
        <v>2409</v>
      </c>
      <c r="K204" s="179"/>
    </row>
    <row r="205" spans="1:11" ht="15.6">
      <c r="A205" s="130">
        <v>45894</v>
      </c>
      <c r="B205" s="129" t="s">
        <v>2408</v>
      </c>
      <c r="C205" s="76" t="s">
        <v>182</v>
      </c>
      <c r="D205" s="76" t="s">
        <v>118</v>
      </c>
      <c r="E205" s="223"/>
      <c r="F205" s="221">
        <v>12985</v>
      </c>
      <c r="G205" s="224"/>
      <c r="H205" s="223">
        <f t="shared" si="2"/>
        <v>15000</v>
      </c>
      <c r="I205" s="76" t="s">
        <v>583</v>
      </c>
      <c r="J205" s="129" t="s">
        <v>2409</v>
      </c>
      <c r="K205" s="179"/>
    </row>
    <row r="206" spans="1:11" ht="15.6">
      <c r="A206" s="484">
        <v>45895</v>
      </c>
      <c r="B206" s="76" t="s">
        <v>2533</v>
      </c>
      <c r="C206" s="76" t="s">
        <v>174</v>
      </c>
      <c r="D206" s="76" t="s">
        <v>118</v>
      </c>
      <c r="E206" s="223"/>
      <c r="F206" s="224">
        <v>500</v>
      </c>
      <c r="G206" s="224"/>
      <c r="H206" s="223">
        <f t="shared" si="2"/>
        <v>14500</v>
      </c>
      <c r="I206" s="76" t="s">
        <v>583</v>
      </c>
      <c r="J206" s="76" t="s">
        <v>2536</v>
      </c>
      <c r="K206" s="179"/>
    </row>
    <row r="207" spans="1:11" ht="15.6">
      <c r="A207" s="484">
        <v>45895</v>
      </c>
      <c r="B207" s="76" t="s">
        <v>2524</v>
      </c>
      <c r="C207" s="76" t="s">
        <v>174</v>
      </c>
      <c r="D207" s="76" t="s">
        <v>118</v>
      </c>
      <c r="E207" s="223"/>
      <c r="F207" s="224">
        <v>500</v>
      </c>
      <c r="G207" s="224"/>
      <c r="H207" s="223">
        <f t="shared" si="2"/>
        <v>14000</v>
      </c>
      <c r="I207" s="76" t="s">
        <v>583</v>
      </c>
      <c r="J207" s="76" t="s">
        <v>2536</v>
      </c>
      <c r="K207" s="179"/>
    </row>
    <row r="208" spans="1:11" ht="15.6">
      <c r="A208" s="130">
        <v>45896</v>
      </c>
      <c r="B208" s="76" t="s">
        <v>2425</v>
      </c>
      <c r="C208" s="129" t="s">
        <v>304</v>
      </c>
      <c r="D208" s="76" t="s">
        <v>118</v>
      </c>
      <c r="E208" s="221">
        <v>20000</v>
      </c>
      <c r="F208" s="224"/>
      <c r="G208" s="224"/>
      <c r="H208" s="223">
        <f t="shared" si="2"/>
        <v>34000</v>
      </c>
      <c r="I208" s="76" t="s">
        <v>583</v>
      </c>
      <c r="J208" s="129" t="s">
        <v>2426</v>
      </c>
      <c r="K208" s="179"/>
    </row>
    <row r="209" spans="1:11" ht="15.6">
      <c r="A209" s="130">
        <v>45896</v>
      </c>
      <c r="B209" s="76" t="s">
        <v>2427</v>
      </c>
      <c r="C209" s="76" t="s">
        <v>304</v>
      </c>
      <c r="D209" s="76" t="s">
        <v>118</v>
      </c>
      <c r="E209" s="221">
        <v>75625</v>
      </c>
      <c r="F209" s="224"/>
      <c r="G209" s="224"/>
      <c r="H209" s="223">
        <f t="shared" si="2"/>
        <v>109625</v>
      </c>
      <c r="I209" s="129" t="s">
        <v>583</v>
      </c>
      <c r="J209" s="129" t="s">
        <v>2428</v>
      </c>
      <c r="K209" s="179"/>
    </row>
    <row r="210" spans="1:11" ht="15.6">
      <c r="A210" s="130">
        <v>45896</v>
      </c>
      <c r="B210" s="129" t="s">
        <v>2433</v>
      </c>
      <c r="C210" s="76" t="s">
        <v>182</v>
      </c>
      <c r="D210" s="76" t="s">
        <v>118</v>
      </c>
      <c r="E210" s="221">
        <v>10020</v>
      </c>
      <c r="F210" s="224"/>
      <c r="G210" s="221"/>
      <c r="H210" s="223">
        <f t="shared" si="2"/>
        <v>119645</v>
      </c>
      <c r="I210" s="76" t="s">
        <v>583</v>
      </c>
      <c r="J210" s="129" t="s">
        <v>2434</v>
      </c>
      <c r="K210" s="179"/>
    </row>
    <row r="211" spans="1:11" ht="15.6">
      <c r="A211" s="130">
        <v>45896</v>
      </c>
      <c r="B211" s="76" t="s">
        <v>2425</v>
      </c>
      <c r="C211" s="129" t="s">
        <v>304</v>
      </c>
      <c r="D211" s="76" t="s">
        <v>118</v>
      </c>
      <c r="E211" s="223"/>
      <c r="F211" s="221">
        <v>20000</v>
      </c>
      <c r="G211" s="221"/>
      <c r="H211" s="223">
        <f t="shared" si="2"/>
        <v>99645</v>
      </c>
      <c r="I211" s="76" t="s">
        <v>583</v>
      </c>
      <c r="J211" s="129" t="s">
        <v>2426</v>
      </c>
      <c r="K211" s="179"/>
    </row>
    <row r="212" spans="1:11" ht="15.6">
      <c r="A212" s="130">
        <v>45896</v>
      </c>
      <c r="B212" s="76" t="s">
        <v>2427</v>
      </c>
      <c r="C212" s="76" t="s">
        <v>304</v>
      </c>
      <c r="D212" s="76" t="s">
        <v>118</v>
      </c>
      <c r="E212" s="223"/>
      <c r="F212" s="221">
        <v>75625</v>
      </c>
      <c r="G212" s="221"/>
      <c r="H212" s="223">
        <f t="shared" si="2"/>
        <v>24020</v>
      </c>
      <c r="I212" s="129" t="s">
        <v>583</v>
      </c>
      <c r="J212" s="129" t="s">
        <v>2428</v>
      </c>
      <c r="K212" s="179"/>
    </row>
    <row r="213" spans="1:11" ht="15.6">
      <c r="A213" s="130">
        <v>45896</v>
      </c>
      <c r="B213" s="129" t="s">
        <v>2433</v>
      </c>
      <c r="C213" s="76" t="s">
        <v>182</v>
      </c>
      <c r="D213" s="76" t="s">
        <v>118</v>
      </c>
      <c r="E213" s="223"/>
      <c r="F213" s="221">
        <v>10020</v>
      </c>
      <c r="G213" s="221"/>
      <c r="H213" s="223">
        <f t="shared" si="2"/>
        <v>14000</v>
      </c>
      <c r="I213" s="76" t="s">
        <v>583</v>
      </c>
      <c r="J213" s="129" t="s">
        <v>2434</v>
      </c>
      <c r="K213" s="179"/>
    </row>
    <row r="214" spans="1:11" ht="15.6">
      <c r="A214" s="484">
        <v>45898</v>
      </c>
      <c r="B214" s="226" t="s">
        <v>2534</v>
      </c>
      <c r="C214" s="76" t="s">
        <v>174</v>
      </c>
      <c r="D214" s="76" t="s">
        <v>118</v>
      </c>
      <c r="E214" s="223"/>
      <c r="F214" s="224">
        <v>1000</v>
      </c>
      <c r="G214" s="221"/>
      <c r="H214" s="223">
        <f t="shared" si="2"/>
        <v>13000</v>
      </c>
      <c r="I214" s="76" t="s">
        <v>583</v>
      </c>
      <c r="J214" s="76" t="s">
        <v>2536</v>
      </c>
      <c r="K214" s="179"/>
    </row>
    <row r="215" spans="1:11" ht="15.6">
      <c r="A215" s="484">
        <v>45898</v>
      </c>
      <c r="B215" s="226" t="s">
        <v>2535</v>
      </c>
      <c r="C215" s="76" t="s">
        <v>174</v>
      </c>
      <c r="D215" s="76" t="s">
        <v>118</v>
      </c>
      <c r="E215" s="223"/>
      <c r="F215" s="224">
        <v>1000</v>
      </c>
      <c r="G215" s="221"/>
      <c r="H215" s="223">
        <f t="shared" si="2"/>
        <v>12000</v>
      </c>
      <c r="I215" s="76" t="s">
        <v>583</v>
      </c>
      <c r="J215" s="76" t="s">
        <v>2536</v>
      </c>
      <c r="K215" s="179"/>
    </row>
    <row r="216" spans="1:11" ht="15.6">
      <c r="A216" s="130">
        <v>45898</v>
      </c>
      <c r="B216" s="76" t="s">
        <v>2435</v>
      </c>
      <c r="C216" s="76" t="s">
        <v>126</v>
      </c>
      <c r="D216" s="76" t="s">
        <v>118</v>
      </c>
      <c r="E216" s="221">
        <v>6000</v>
      </c>
      <c r="F216" s="224"/>
      <c r="G216" s="221"/>
      <c r="H216" s="223">
        <f t="shared" si="2"/>
        <v>18000</v>
      </c>
      <c r="I216" s="91" t="s">
        <v>583</v>
      </c>
      <c r="J216" s="129" t="s">
        <v>2436</v>
      </c>
      <c r="K216" s="179"/>
    </row>
    <row r="217" spans="1:11" ht="15.6">
      <c r="A217" s="130">
        <v>45898</v>
      </c>
      <c r="B217" s="129" t="s">
        <v>2437</v>
      </c>
      <c r="C217" s="129" t="s">
        <v>626</v>
      </c>
      <c r="D217" s="76" t="s">
        <v>118</v>
      </c>
      <c r="E217" s="221">
        <v>45050</v>
      </c>
      <c r="F217" s="224"/>
      <c r="G217" s="221"/>
      <c r="H217" s="223">
        <f t="shared" si="2"/>
        <v>63050</v>
      </c>
      <c r="I217" s="76" t="s">
        <v>583</v>
      </c>
      <c r="J217" s="129" t="s">
        <v>2438</v>
      </c>
      <c r="K217" s="179"/>
    </row>
    <row r="218" spans="1:11" ht="15.6">
      <c r="A218" s="130">
        <v>45898</v>
      </c>
      <c r="B218" s="76" t="s">
        <v>2435</v>
      </c>
      <c r="C218" s="76" t="s">
        <v>126</v>
      </c>
      <c r="D218" s="76" t="s">
        <v>118</v>
      </c>
      <c r="E218" s="223"/>
      <c r="F218" s="221">
        <v>6000</v>
      </c>
      <c r="G218" s="221"/>
      <c r="H218" s="223">
        <f t="shared" si="2"/>
        <v>57050</v>
      </c>
      <c r="I218" s="91" t="s">
        <v>583</v>
      </c>
      <c r="J218" s="129" t="s">
        <v>2436</v>
      </c>
      <c r="K218" s="179"/>
    </row>
    <row r="219" spans="1:11" ht="15.6">
      <c r="A219" s="130">
        <v>45898</v>
      </c>
      <c r="B219" s="129" t="s">
        <v>2437</v>
      </c>
      <c r="C219" s="129" t="s">
        <v>626</v>
      </c>
      <c r="D219" s="76" t="s">
        <v>118</v>
      </c>
      <c r="E219" s="223"/>
      <c r="F219" s="221">
        <v>45050</v>
      </c>
      <c r="G219" s="221"/>
      <c r="H219" s="223">
        <f t="shared" si="2"/>
        <v>12000</v>
      </c>
      <c r="I219" s="76" t="s">
        <v>583</v>
      </c>
      <c r="J219" s="129" t="s">
        <v>2438</v>
      </c>
      <c r="K219" s="179"/>
    </row>
    <row r="220" spans="1:11" ht="15.6">
      <c r="A220" s="190"/>
      <c r="B220" s="188"/>
      <c r="C220" s="188"/>
      <c r="D220" s="188"/>
      <c r="E220" s="192">
        <f>SUM(E125:E219)</f>
        <v>362800</v>
      </c>
      <c r="F220" s="192">
        <f>SUM(F124:F219)</f>
        <v>349300</v>
      </c>
      <c r="G220" s="192"/>
      <c r="H220" s="193">
        <f>+H124+E220-F220</f>
        <v>12000</v>
      </c>
      <c r="I220" s="188"/>
      <c r="J220" s="188"/>
      <c r="K220" s="188"/>
    </row>
    <row r="221" spans="1:11" ht="15.6">
      <c r="A221" s="190"/>
      <c r="B221" s="188"/>
      <c r="C221" s="188"/>
      <c r="D221" s="188"/>
      <c r="E221" s="192"/>
      <c r="F221" s="192"/>
      <c r="G221" s="192"/>
      <c r="H221" s="193"/>
      <c r="I221" s="188"/>
      <c r="J221" s="188"/>
      <c r="K221" s="188"/>
    </row>
    <row r="222" spans="1:11" ht="15.6">
      <c r="A222" s="190"/>
      <c r="B222" s="188"/>
      <c r="C222" s="191" t="s">
        <v>455</v>
      </c>
      <c r="D222" s="188"/>
      <c r="E222" s="192"/>
      <c r="F222" s="192"/>
      <c r="G222" s="192"/>
      <c r="H222" s="193"/>
      <c r="I222" s="188"/>
      <c r="J222" s="188"/>
      <c r="K222" s="188"/>
    </row>
    <row r="223" spans="1:11" ht="15.6">
      <c r="A223" s="190"/>
      <c r="B223" s="188"/>
      <c r="C223" s="188"/>
      <c r="D223" s="188"/>
      <c r="E223" s="192"/>
      <c r="F223" s="192"/>
      <c r="G223" s="192"/>
      <c r="H223" s="193"/>
      <c r="I223" s="188"/>
      <c r="J223" s="188"/>
      <c r="K223" s="188"/>
    </row>
    <row r="224" spans="1:11" ht="15.6">
      <c r="A224" s="194" t="s">
        <v>0</v>
      </c>
      <c r="B224" s="195" t="s">
        <v>445</v>
      </c>
      <c r="C224" s="195" t="s">
        <v>446</v>
      </c>
      <c r="D224" s="195" t="s">
        <v>447</v>
      </c>
      <c r="E224" s="196" t="s">
        <v>448</v>
      </c>
      <c r="F224" s="196" t="s">
        <v>449</v>
      </c>
      <c r="G224" s="196"/>
      <c r="H224" s="203" t="s">
        <v>30</v>
      </c>
      <c r="I224" s="195" t="s">
        <v>450</v>
      </c>
      <c r="J224" s="195" t="s">
        <v>451</v>
      </c>
      <c r="K224" s="188"/>
    </row>
    <row r="225" spans="1:11" ht="15.6">
      <c r="A225" s="148">
        <v>45870</v>
      </c>
      <c r="B225" s="182" t="s">
        <v>2882</v>
      </c>
      <c r="C225" s="182"/>
      <c r="D225" s="182"/>
      <c r="E225" s="185"/>
      <c r="F225" s="185"/>
      <c r="G225" s="185"/>
      <c r="H225" s="186">
        <v>146710</v>
      </c>
      <c r="I225" s="186" t="s">
        <v>184</v>
      </c>
      <c r="J225" s="182"/>
      <c r="K225" s="188"/>
    </row>
    <row r="226" spans="1:11" ht="15.6">
      <c r="A226" s="467">
        <v>45876</v>
      </c>
      <c r="B226" s="177" t="s">
        <v>2550</v>
      </c>
      <c r="C226" s="177" t="s">
        <v>152</v>
      </c>
      <c r="D226" s="177" t="s">
        <v>121</v>
      </c>
      <c r="E226" s="177">
        <v>5000</v>
      </c>
      <c r="F226" s="177"/>
      <c r="G226" s="185"/>
      <c r="H226" s="186">
        <f>H225+E226-F226</f>
        <v>151710</v>
      </c>
      <c r="I226" s="177" t="s">
        <v>184</v>
      </c>
      <c r="J226" s="177" t="s">
        <v>2557</v>
      </c>
      <c r="K226" s="188"/>
    </row>
    <row r="227" spans="1:11" ht="15.6">
      <c r="A227" s="467">
        <v>45876</v>
      </c>
      <c r="B227" s="177" t="s">
        <v>2550</v>
      </c>
      <c r="C227" s="177" t="s">
        <v>152</v>
      </c>
      <c r="D227" s="177" t="s">
        <v>2551</v>
      </c>
      <c r="E227" s="177"/>
      <c r="F227" s="177">
        <v>5000</v>
      </c>
      <c r="G227" s="185"/>
      <c r="H227" s="186">
        <f t="shared" ref="H227:H290" si="3">H226+E227-F227</f>
        <v>146710</v>
      </c>
      <c r="I227" s="177" t="s">
        <v>184</v>
      </c>
      <c r="J227" s="177" t="s">
        <v>2557</v>
      </c>
      <c r="K227" s="188"/>
    </row>
    <row r="228" spans="1:11" ht="15.6">
      <c r="A228" s="245">
        <v>45880</v>
      </c>
      <c r="B228" s="146" t="s">
        <v>3045</v>
      </c>
      <c r="C228" s="146" t="s">
        <v>174</v>
      </c>
      <c r="D228" s="146" t="s">
        <v>121</v>
      </c>
      <c r="E228" s="146"/>
      <c r="F228" s="146">
        <v>1000</v>
      </c>
      <c r="G228" s="185"/>
      <c r="H228" s="186">
        <f t="shared" si="3"/>
        <v>145710</v>
      </c>
      <c r="I228" s="146" t="s">
        <v>184</v>
      </c>
      <c r="J228" s="146" t="s">
        <v>2558</v>
      </c>
      <c r="K228" s="188"/>
    </row>
    <row r="229" spans="1:11" ht="15.6">
      <c r="A229" s="245">
        <v>45880</v>
      </c>
      <c r="B229" s="146" t="s">
        <v>3045</v>
      </c>
      <c r="C229" s="146" t="s">
        <v>174</v>
      </c>
      <c r="D229" s="146" t="s">
        <v>121</v>
      </c>
      <c r="E229" s="146"/>
      <c r="F229" s="146">
        <v>1000</v>
      </c>
      <c r="G229" s="185"/>
      <c r="H229" s="186">
        <f t="shared" si="3"/>
        <v>144710</v>
      </c>
      <c r="I229" s="146" t="s">
        <v>184</v>
      </c>
      <c r="J229" s="146" t="s">
        <v>2558</v>
      </c>
      <c r="K229" s="188"/>
    </row>
    <row r="230" spans="1:11" ht="15.6">
      <c r="A230" s="245">
        <v>45880</v>
      </c>
      <c r="B230" s="146" t="s">
        <v>3045</v>
      </c>
      <c r="C230" s="146" t="s">
        <v>174</v>
      </c>
      <c r="D230" s="146" t="s">
        <v>121</v>
      </c>
      <c r="E230" s="146"/>
      <c r="F230" s="146">
        <v>1000</v>
      </c>
      <c r="G230" s="185"/>
      <c r="H230" s="186">
        <f t="shared" si="3"/>
        <v>143710</v>
      </c>
      <c r="I230" s="146" t="s">
        <v>184</v>
      </c>
      <c r="J230" s="146" t="s">
        <v>2558</v>
      </c>
      <c r="K230" s="188"/>
    </row>
    <row r="231" spans="1:11" ht="15.6">
      <c r="A231" s="245">
        <v>45880</v>
      </c>
      <c r="B231" s="146" t="s">
        <v>3044</v>
      </c>
      <c r="C231" s="146" t="s">
        <v>174</v>
      </c>
      <c r="D231" s="146" t="s">
        <v>121</v>
      </c>
      <c r="E231" s="146"/>
      <c r="F231" s="146">
        <v>1500</v>
      </c>
      <c r="G231" s="185"/>
      <c r="H231" s="186">
        <f t="shared" si="3"/>
        <v>142210</v>
      </c>
      <c r="I231" s="146" t="s">
        <v>184</v>
      </c>
      <c r="J231" s="146" t="s">
        <v>2558</v>
      </c>
      <c r="K231" s="188"/>
    </row>
    <row r="232" spans="1:11" ht="15.6">
      <c r="A232" s="245">
        <v>45880</v>
      </c>
      <c r="B232" s="146" t="s">
        <v>2552</v>
      </c>
      <c r="C232" s="146" t="s">
        <v>368</v>
      </c>
      <c r="D232" s="146" t="s">
        <v>121</v>
      </c>
      <c r="E232" s="146"/>
      <c r="F232" s="146">
        <v>1000</v>
      </c>
      <c r="G232" s="185"/>
      <c r="H232" s="186">
        <f t="shared" si="3"/>
        <v>141210</v>
      </c>
      <c r="I232" s="146" t="s">
        <v>184</v>
      </c>
      <c r="J232" s="146" t="s">
        <v>2559</v>
      </c>
      <c r="K232" s="188"/>
    </row>
    <row r="233" spans="1:11" ht="15.6">
      <c r="A233" s="245">
        <v>45881</v>
      </c>
      <c r="B233" s="146" t="s">
        <v>2553</v>
      </c>
      <c r="C233" s="146" t="s">
        <v>124</v>
      </c>
      <c r="D233" s="146" t="s">
        <v>121</v>
      </c>
      <c r="E233" s="146"/>
      <c r="F233" s="146">
        <v>20000</v>
      </c>
      <c r="G233" s="185"/>
      <c r="H233" s="186">
        <f t="shared" si="3"/>
        <v>121210</v>
      </c>
      <c r="I233" s="146" t="s">
        <v>184</v>
      </c>
      <c r="J233" s="146" t="s">
        <v>2560</v>
      </c>
      <c r="K233" s="188"/>
    </row>
    <row r="234" spans="1:11" ht="15.6">
      <c r="A234" s="245">
        <v>45882</v>
      </c>
      <c r="B234" s="146" t="s">
        <v>3045</v>
      </c>
      <c r="C234" s="146" t="s">
        <v>174</v>
      </c>
      <c r="D234" s="146" t="s">
        <v>121</v>
      </c>
      <c r="E234" s="146"/>
      <c r="F234" s="146">
        <v>1000</v>
      </c>
      <c r="G234" s="185"/>
      <c r="H234" s="186">
        <f t="shared" si="3"/>
        <v>120210</v>
      </c>
      <c r="I234" s="146" t="s">
        <v>184</v>
      </c>
      <c r="J234" s="146" t="s">
        <v>2558</v>
      </c>
      <c r="K234" s="188"/>
    </row>
    <row r="235" spans="1:11" ht="15.6">
      <c r="A235" s="245">
        <v>45882</v>
      </c>
      <c r="B235" s="146" t="s">
        <v>3045</v>
      </c>
      <c r="C235" s="146" t="s">
        <v>174</v>
      </c>
      <c r="D235" s="146" t="s">
        <v>121</v>
      </c>
      <c r="E235" s="146"/>
      <c r="F235" s="146">
        <v>1000</v>
      </c>
      <c r="G235" s="185"/>
      <c r="H235" s="186">
        <f t="shared" si="3"/>
        <v>119210</v>
      </c>
      <c r="I235" s="146" t="s">
        <v>184</v>
      </c>
      <c r="J235" s="146" t="s">
        <v>2558</v>
      </c>
      <c r="K235" s="188"/>
    </row>
    <row r="236" spans="1:11" ht="15.6">
      <c r="A236" s="245">
        <v>45882</v>
      </c>
      <c r="B236" s="146" t="s">
        <v>3045</v>
      </c>
      <c r="C236" s="146" t="s">
        <v>174</v>
      </c>
      <c r="D236" s="146" t="s">
        <v>121</v>
      </c>
      <c r="E236" s="146"/>
      <c r="F236" s="146">
        <v>1500</v>
      </c>
      <c r="G236" s="185"/>
      <c r="H236" s="186">
        <f t="shared" si="3"/>
        <v>117710</v>
      </c>
      <c r="I236" s="146" t="s">
        <v>184</v>
      </c>
      <c r="J236" s="146" t="s">
        <v>2558</v>
      </c>
      <c r="K236" s="188"/>
    </row>
    <row r="237" spans="1:11" ht="15.6">
      <c r="A237" s="245">
        <v>45882</v>
      </c>
      <c r="B237" s="146" t="s">
        <v>2552</v>
      </c>
      <c r="C237" s="146" t="s">
        <v>368</v>
      </c>
      <c r="D237" s="146" t="s">
        <v>121</v>
      </c>
      <c r="E237" s="146"/>
      <c r="F237" s="146">
        <v>1000</v>
      </c>
      <c r="G237" s="185"/>
      <c r="H237" s="186">
        <f t="shared" si="3"/>
        <v>116710</v>
      </c>
      <c r="I237" s="146" t="s">
        <v>184</v>
      </c>
      <c r="J237" s="146" t="s">
        <v>2559</v>
      </c>
      <c r="K237" s="188"/>
    </row>
    <row r="238" spans="1:11" ht="15.6">
      <c r="A238" s="245">
        <v>45882</v>
      </c>
      <c r="B238" s="146" t="s">
        <v>2554</v>
      </c>
      <c r="C238" s="146" t="s">
        <v>124</v>
      </c>
      <c r="D238" s="146" t="s">
        <v>121</v>
      </c>
      <c r="E238" s="146">
        <v>145000</v>
      </c>
      <c r="F238" s="146"/>
      <c r="G238" s="185"/>
      <c r="H238" s="186">
        <f t="shared" si="3"/>
        <v>261710</v>
      </c>
      <c r="I238" s="146" t="s">
        <v>184</v>
      </c>
      <c r="J238" s="146" t="s">
        <v>2561</v>
      </c>
      <c r="K238" s="188"/>
    </row>
    <row r="239" spans="1:11" ht="15.6">
      <c r="A239" s="245">
        <v>45883</v>
      </c>
      <c r="B239" s="146" t="s">
        <v>3024</v>
      </c>
      <c r="C239" s="146" t="s">
        <v>174</v>
      </c>
      <c r="D239" s="146" t="s">
        <v>121</v>
      </c>
      <c r="E239" s="146"/>
      <c r="F239" s="146">
        <v>37000</v>
      </c>
      <c r="G239" s="185"/>
      <c r="H239" s="186">
        <f t="shared" si="3"/>
        <v>224710</v>
      </c>
      <c r="I239" s="146" t="s">
        <v>184</v>
      </c>
      <c r="J239" s="177" t="s">
        <v>2562</v>
      </c>
      <c r="K239" s="188"/>
    </row>
    <row r="240" spans="1:11" ht="15.6">
      <c r="A240" s="245">
        <v>45883</v>
      </c>
      <c r="B240" s="146" t="s">
        <v>3045</v>
      </c>
      <c r="C240" s="146" t="s">
        <v>174</v>
      </c>
      <c r="D240" s="146" t="s">
        <v>121</v>
      </c>
      <c r="E240" s="146"/>
      <c r="F240" s="146">
        <v>2500</v>
      </c>
      <c r="G240" s="185"/>
      <c r="H240" s="186">
        <f t="shared" si="3"/>
        <v>222210</v>
      </c>
      <c r="I240" s="146" t="s">
        <v>184</v>
      </c>
      <c r="J240" s="146" t="s">
        <v>2558</v>
      </c>
      <c r="K240" s="188"/>
    </row>
    <row r="241" spans="1:11" ht="15.6">
      <c r="A241" s="245">
        <v>45883</v>
      </c>
      <c r="B241" s="146" t="s">
        <v>3074</v>
      </c>
      <c r="C241" s="146" t="s">
        <v>177</v>
      </c>
      <c r="D241" s="146" t="s">
        <v>121</v>
      </c>
      <c r="E241" s="146"/>
      <c r="F241" s="146">
        <v>180000</v>
      </c>
      <c r="G241" s="185"/>
      <c r="H241" s="186">
        <f t="shared" si="3"/>
        <v>42210</v>
      </c>
      <c r="I241" s="146" t="s">
        <v>184</v>
      </c>
      <c r="J241" s="177" t="s">
        <v>2563</v>
      </c>
      <c r="K241" s="188"/>
    </row>
    <row r="242" spans="1:11" ht="15.6">
      <c r="A242" s="245">
        <v>45883</v>
      </c>
      <c r="B242" s="146" t="s">
        <v>3045</v>
      </c>
      <c r="C242" s="146" t="s">
        <v>174</v>
      </c>
      <c r="D242" s="146" t="s">
        <v>121</v>
      </c>
      <c r="E242" s="146"/>
      <c r="F242" s="146">
        <v>1000</v>
      </c>
      <c r="G242" s="185"/>
      <c r="H242" s="186">
        <f t="shared" si="3"/>
        <v>41210</v>
      </c>
      <c r="I242" s="146" t="s">
        <v>184</v>
      </c>
      <c r="J242" s="146" t="s">
        <v>2558</v>
      </c>
      <c r="K242" s="188"/>
    </row>
    <row r="243" spans="1:11" ht="15.6">
      <c r="A243" s="245">
        <v>45884</v>
      </c>
      <c r="B243" s="146" t="s">
        <v>3045</v>
      </c>
      <c r="C243" s="146" t="s">
        <v>174</v>
      </c>
      <c r="D243" s="146" t="s">
        <v>121</v>
      </c>
      <c r="E243" s="146"/>
      <c r="F243" s="146">
        <v>1000</v>
      </c>
      <c r="G243" s="185"/>
      <c r="H243" s="186">
        <f t="shared" si="3"/>
        <v>40210</v>
      </c>
      <c r="I243" s="146" t="s">
        <v>184</v>
      </c>
      <c r="J243" s="146" t="s">
        <v>2558</v>
      </c>
      <c r="K243" s="188"/>
    </row>
    <row r="244" spans="1:11" ht="15.6">
      <c r="A244" s="245">
        <v>45884</v>
      </c>
      <c r="B244" s="146" t="s">
        <v>3026</v>
      </c>
      <c r="C244" s="146" t="s">
        <v>177</v>
      </c>
      <c r="D244" s="146" t="s">
        <v>121</v>
      </c>
      <c r="E244" s="146"/>
      <c r="F244" s="146">
        <v>15000</v>
      </c>
      <c r="G244" s="185"/>
      <c r="H244" s="186">
        <f t="shared" si="3"/>
        <v>25210</v>
      </c>
      <c r="I244" s="146" t="s">
        <v>184</v>
      </c>
      <c r="J244" s="177" t="s">
        <v>2564</v>
      </c>
      <c r="K244" s="188"/>
    </row>
    <row r="245" spans="1:11" ht="15.6">
      <c r="A245" s="245">
        <v>45884</v>
      </c>
      <c r="B245" s="146" t="s">
        <v>3041</v>
      </c>
      <c r="C245" s="146" t="s">
        <v>174</v>
      </c>
      <c r="D245" s="146" t="s">
        <v>121</v>
      </c>
      <c r="E245" s="146"/>
      <c r="F245" s="146">
        <v>1000</v>
      </c>
      <c r="G245" s="185"/>
      <c r="H245" s="186">
        <f t="shared" si="3"/>
        <v>24210</v>
      </c>
      <c r="I245" s="146" t="s">
        <v>184</v>
      </c>
      <c r="J245" s="146" t="s">
        <v>2558</v>
      </c>
      <c r="K245" s="188"/>
    </row>
    <row r="246" spans="1:11" ht="15.6">
      <c r="A246" s="245">
        <v>45884</v>
      </c>
      <c r="B246" s="177" t="s">
        <v>2550</v>
      </c>
      <c r="C246" s="177" t="s">
        <v>152</v>
      </c>
      <c r="D246" s="177" t="s">
        <v>121</v>
      </c>
      <c r="E246" s="146">
        <v>5000</v>
      </c>
      <c r="F246" s="146"/>
      <c r="G246" s="185"/>
      <c r="H246" s="186">
        <f t="shared" si="3"/>
        <v>29210</v>
      </c>
      <c r="I246" s="146" t="s">
        <v>184</v>
      </c>
      <c r="J246" s="177" t="s">
        <v>2565</v>
      </c>
      <c r="K246" s="188"/>
    </row>
    <row r="247" spans="1:11" ht="15.6">
      <c r="A247" s="245">
        <v>45884</v>
      </c>
      <c r="B247" s="177" t="s">
        <v>2550</v>
      </c>
      <c r="C247" s="177" t="s">
        <v>152</v>
      </c>
      <c r="D247" s="177" t="s">
        <v>2551</v>
      </c>
      <c r="E247" s="146"/>
      <c r="F247" s="146">
        <v>5000</v>
      </c>
      <c r="G247" s="185"/>
      <c r="H247" s="186">
        <f t="shared" si="3"/>
        <v>24210</v>
      </c>
      <c r="I247" s="146" t="s">
        <v>184</v>
      </c>
      <c r="J247" s="177" t="s">
        <v>2565</v>
      </c>
      <c r="K247" s="188"/>
    </row>
    <row r="248" spans="1:11" ht="15.6">
      <c r="A248" s="245">
        <v>45885</v>
      </c>
      <c r="B248" s="146" t="s">
        <v>3039</v>
      </c>
      <c r="C248" s="146" t="s">
        <v>174</v>
      </c>
      <c r="D248" s="146" t="s">
        <v>121</v>
      </c>
      <c r="E248" s="146"/>
      <c r="F248" s="146">
        <v>1000</v>
      </c>
      <c r="G248" s="185"/>
      <c r="H248" s="186">
        <f t="shared" si="3"/>
        <v>23210</v>
      </c>
      <c r="I248" s="146" t="s">
        <v>184</v>
      </c>
      <c r="J248" s="146" t="s">
        <v>2558</v>
      </c>
      <c r="K248" s="188"/>
    </row>
    <row r="249" spans="1:11" ht="15.6">
      <c r="A249" s="245">
        <v>45885</v>
      </c>
      <c r="B249" s="146" t="s">
        <v>3026</v>
      </c>
      <c r="C249" s="146" t="s">
        <v>177</v>
      </c>
      <c r="D249" s="146" t="s">
        <v>121</v>
      </c>
      <c r="E249" s="146"/>
      <c r="F249" s="146">
        <v>15000</v>
      </c>
      <c r="G249" s="185"/>
      <c r="H249" s="186">
        <f t="shared" si="3"/>
        <v>8210</v>
      </c>
      <c r="I249" s="146" t="s">
        <v>184</v>
      </c>
      <c r="J249" s="177" t="s">
        <v>2566</v>
      </c>
      <c r="K249" s="188"/>
    </row>
    <row r="250" spans="1:11" ht="15.6">
      <c r="A250" s="245">
        <v>45885</v>
      </c>
      <c r="B250" s="146" t="s">
        <v>3041</v>
      </c>
      <c r="C250" s="146" t="s">
        <v>174</v>
      </c>
      <c r="D250" s="146" t="s">
        <v>121</v>
      </c>
      <c r="E250" s="146"/>
      <c r="F250" s="146">
        <v>1000</v>
      </c>
      <c r="G250" s="185"/>
      <c r="H250" s="186">
        <f t="shared" si="3"/>
        <v>7210</v>
      </c>
      <c r="I250" s="146" t="s">
        <v>184</v>
      </c>
      <c r="J250" s="146" t="s">
        <v>2558</v>
      </c>
      <c r="K250" s="188"/>
    </row>
    <row r="251" spans="1:11" ht="15.6">
      <c r="A251" s="245">
        <v>45887</v>
      </c>
      <c r="B251" s="146" t="s">
        <v>3042</v>
      </c>
      <c r="C251" s="146" t="s">
        <v>174</v>
      </c>
      <c r="D251" s="146" t="s">
        <v>121</v>
      </c>
      <c r="E251" s="146"/>
      <c r="F251" s="146">
        <v>500</v>
      </c>
      <c r="G251" s="185"/>
      <c r="H251" s="186">
        <f t="shared" si="3"/>
        <v>6710</v>
      </c>
      <c r="I251" s="146" t="s">
        <v>184</v>
      </c>
      <c r="J251" s="146" t="s">
        <v>2558</v>
      </c>
      <c r="K251" s="188"/>
    </row>
    <row r="252" spans="1:11" ht="15.6">
      <c r="A252" s="245">
        <v>45887</v>
      </c>
      <c r="B252" s="146" t="s">
        <v>3042</v>
      </c>
      <c r="C252" s="146" t="s">
        <v>174</v>
      </c>
      <c r="D252" s="146" t="s">
        <v>121</v>
      </c>
      <c r="E252" s="146"/>
      <c r="F252" s="146">
        <v>500</v>
      </c>
      <c r="G252" s="185"/>
      <c r="H252" s="186">
        <f t="shared" si="3"/>
        <v>6210</v>
      </c>
      <c r="I252" s="146" t="s">
        <v>184</v>
      </c>
      <c r="J252" s="146" t="s">
        <v>2558</v>
      </c>
      <c r="K252" s="188"/>
    </row>
    <row r="253" spans="1:11" ht="15.6">
      <c r="A253" s="245">
        <v>45887</v>
      </c>
      <c r="B253" s="146" t="s">
        <v>3039</v>
      </c>
      <c r="C253" s="146" t="s">
        <v>174</v>
      </c>
      <c r="D253" s="146" t="s">
        <v>121</v>
      </c>
      <c r="E253" s="146"/>
      <c r="F253" s="146">
        <v>1000</v>
      </c>
      <c r="G253" s="185"/>
      <c r="H253" s="186">
        <f t="shared" si="3"/>
        <v>5210</v>
      </c>
      <c r="I253" s="146" t="s">
        <v>184</v>
      </c>
      <c r="J253" s="146" t="s">
        <v>2558</v>
      </c>
      <c r="K253" s="188"/>
    </row>
    <row r="254" spans="1:11" ht="15.6">
      <c r="A254" s="245">
        <v>45887</v>
      </c>
      <c r="B254" s="146" t="s">
        <v>3041</v>
      </c>
      <c r="C254" s="146" t="s">
        <v>174</v>
      </c>
      <c r="D254" s="146" t="s">
        <v>121</v>
      </c>
      <c r="E254" s="146"/>
      <c r="F254" s="146">
        <v>1000</v>
      </c>
      <c r="G254" s="185"/>
      <c r="H254" s="186">
        <f t="shared" si="3"/>
        <v>4210</v>
      </c>
      <c r="I254" s="146" t="s">
        <v>184</v>
      </c>
      <c r="J254" s="146" t="s">
        <v>2558</v>
      </c>
      <c r="K254" s="188"/>
    </row>
    <row r="255" spans="1:11" ht="15.6">
      <c r="A255" s="245">
        <v>45887</v>
      </c>
      <c r="B255" s="146" t="s">
        <v>3039</v>
      </c>
      <c r="C255" s="146" t="s">
        <v>174</v>
      </c>
      <c r="D255" s="146" t="s">
        <v>121</v>
      </c>
      <c r="E255" s="146"/>
      <c r="F255" s="146">
        <v>1000</v>
      </c>
      <c r="G255" s="185"/>
      <c r="H255" s="186">
        <f t="shared" si="3"/>
        <v>3210</v>
      </c>
      <c r="I255" s="146" t="s">
        <v>184</v>
      </c>
      <c r="J255" s="146" t="s">
        <v>2558</v>
      </c>
      <c r="K255" s="188"/>
    </row>
    <row r="256" spans="1:11" ht="15.6">
      <c r="A256" s="245">
        <v>45887</v>
      </c>
      <c r="B256" s="146" t="s">
        <v>3042</v>
      </c>
      <c r="C256" s="146" t="s">
        <v>174</v>
      </c>
      <c r="D256" s="146" t="s">
        <v>121</v>
      </c>
      <c r="E256" s="146"/>
      <c r="F256" s="146">
        <v>500</v>
      </c>
      <c r="G256" s="185"/>
      <c r="H256" s="186">
        <f t="shared" si="3"/>
        <v>2710</v>
      </c>
      <c r="I256" s="146" t="s">
        <v>184</v>
      </c>
      <c r="J256" s="146" t="s">
        <v>2558</v>
      </c>
      <c r="K256" s="188"/>
    </row>
    <row r="257" spans="1:11" ht="15.6">
      <c r="A257" s="245">
        <v>45887</v>
      </c>
      <c r="B257" s="146" t="s">
        <v>3039</v>
      </c>
      <c r="C257" s="146" t="s">
        <v>174</v>
      </c>
      <c r="D257" s="146" t="s">
        <v>121</v>
      </c>
      <c r="E257" s="146"/>
      <c r="F257" s="146">
        <v>1000</v>
      </c>
      <c r="G257" s="185"/>
      <c r="H257" s="186">
        <f t="shared" si="3"/>
        <v>1710</v>
      </c>
      <c r="I257" s="146" t="s">
        <v>184</v>
      </c>
      <c r="J257" s="146" t="s">
        <v>2558</v>
      </c>
      <c r="K257" s="188"/>
    </row>
    <row r="258" spans="1:11" ht="15.6">
      <c r="A258" s="245">
        <v>45887</v>
      </c>
      <c r="B258" s="146" t="s">
        <v>2554</v>
      </c>
      <c r="C258" s="146" t="s">
        <v>124</v>
      </c>
      <c r="D258" s="146" t="s">
        <v>121</v>
      </c>
      <c r="E258" s="146">
        <v>255000</v>
      </c>
      <c r="F258" s="146"/>
      <c r="G258" s="185"/>
      <c r="H258" s="186">
        <f t="shared" si="3"/>
        <v>256710</v>
      </c>
      <c r="I258" s="146" t="s">
        <v>184</v>
      </c>
      <c r="J258" s="146" t="s">
        <v>2567</v>
      </c>
      <c r="K258" s="188"/>
    </row>
    <row r="259" spans="1:11" ht="15.6">
      <c r="A259" s="245">
        <v>45887</v>
      </c>
      <c r="B259" s="177" t="s">
        <v>2555</v>
      </c>
      <c r="C259" s="177" t="s">
        <v>152</v>
      </c>
      <c r="D259" s="177" t="s">
        <v>121</v>
      </c>
      <c r="E259" s="146">
        <v>10000</v>
      </c>
      <c r="F259" s="146"/>
      <c r="G259" s="185"/>
      <c r="H259" s="186">
        <f t="shared" si="3"/>
        <v>266710</v>
      </c>
      <c r="I259" s="146" t="s">
        <v>184</v>
      </c>
      <c r="J259" s="177" t="s">
        <v>2568</v>
      </c>
      <c r="K259" s="188"/>
    </row>
    <row r="260" spans="1:11" ht="15.6">
      <c r="A260" s="245">
        <v>45887</v>
      </c>
      <c r="B260" s="177" t="s">
        <v>2556</v>
      </c>
      <c r="C260" s="177" t="s">
        <v>152</v>
      </c>
      <c r="D260" s="177" t="s">
        <v>2551</v>
      </c>
      <c r="E260" s="146">
        <v>5000</v>
      </c>
      <c r="F260" s="146"/>
      <c r="G260" s="185"/>
      <c r="H260" s="186">
        <f t="shared" si="3"/>
        <v>271710</v>
      </c>
      <c r="I260" s="146" t="s">
        <v>184</v>
      </c>
      <c r="J260" s="177" t="s">
        <v>2569</v>
      </c>
      <c r="K260" s="188"/>
    </row>
    <row r="261" spans="1:11" ht="15.6">
      <c r="A261" s="245">
        <v>45887</v>
      </c>
      <c r="B261" s="177" t="s">
        <v>2555</v>
      </c>
      <c r="C261" s="177" t="s">
        <v>152</v>
      </c>
      <c r="D261" s="177" t="s">
        <v>121</v>
      </c>
      <c r="E261" s="146"/>
      <c r="F261" s="146">
        <v>10000</v>
      </c>
      <c r="G261" s="185"/>
      <c r="H261" s="186">
        <f t="shared" si="3"/>
        <v>261710</v>
      </c>
      <c r="I261" s="146" t="s">
        <v>184</v>
      </c>
      <c r="J261" s="177" t="s">
        <v>2568</v>
      </c>
      <c r="K261" s="188"/>
    </row>
    <row r="262" spans="1:11" ht="15.6">
      <c r="A262" s="245">
        <v>45887</v>
      </c>
      <c r="B262" s="177" t="s">
        <v>2556</v>
      </c>
      <c r="C262" s="177" t="s">
        <v>152</v>
      </c>
      <c r="D262" s="177" t="s">
        <v>2551</v>
      </c>
      <c r="E262" s="146"/>
      <c r="F262" s="146">
        <v>5000</v>
      </c>
      <c r="G262" s="185"/>
      <c r="H262" s="186">
        <f t="shared" si="3"/>
        <v>256710</v>
      </c>
      <c r="I262" s="146" t="s">
        <v>184</v>
      </c>
      <c r="J262" s="177" t="s">
        <v>2569</v>
      </c>
      <c r="K262" s="188"/>
    </row>
    <row r="263" spans="1:11" ht="15.6">
      <c r="A263" s="245">
        <v>45888</v>
      </c>
      <c r="B263" s="146" t="s">
        <v>3039</v>
      </c>
      <c r="C263" s="146" t="s">
        <v>174</v>
      </c>
      <c r="D263" s="146" t="s">
        <v>121</v>
      </c>
      <c r="E263" s="146"/>
      <c r="F263" s="146">
        <v>1000</v>
      </c>
      <c r="G263" s="185"/>
      <c r="H263" s="186">
        <f t="shared" si="3"/>
        <v>255710</v>
      </c>
      <c r="I263" s="146" t="s">
        <v>184</v>
      </c>
      <c r="J263" s="146" t="s">
        <v>2558</v>
      </c>
      <c r="K263" s="188"/>
    </row>
    <row r="264" spans="1:11" ht="15.6">
      <c r="A264" s="245">
        <v>45888</v>
      </c>
      <c r="B264" s="146" t="s">
        <v>3041</v>
      </c>
      <c r="C264" s="146" t="s">
        <v>174</v>
      </c>
      <c r="D264" s="146" t="s">
        <v>121</v>
      </c>
      <c r="E264" s="146"/>
      <c r="F264" s="146">
        <v>1000</v>
      </c>
      <c r="G264" s="185"/>
      <c r="H264" s="186">
        <f t="shared" si="3"/>
        <v>254710</v>
      </c>
      <c r="I264" s="146" t="s">
        <v>184</v>
      </c>
      <c r="J264" s="146" t="s">
        <v>2558</v>
      </c>
      <c r="K264" s="188"/>
    </row>
    <row r="265" spans="1:11" ht="15.6">
      <c r="A265" s="245">
        <v>45888</v>
      </c>
      <c r="B265" s="146" t="s">
        <v>3042</v>
      </c>
      <c r="C265" s="146" t="s">
        <v>174</v>
      </c>
      <c r="D265" s="146" t="s">
        <v>121</v>
      </c>
      <c r="E265" s="146"/>
      <c r="F265" s="146">
        <v>500</v>
      </c>
      <c r="G265" s="185"/>
      <c r="H265" s="186">
        <f t="shared" si="3"/>
        <v>254210</v>
      </c>
      <c r="I265" s="146" t="s">
        <v>184</v>
      </c>
      <c r="J265" s="146" t="s">
        <v>2558</v>
      </c>
      <c r="K265" s="188"/>
    </row>
    <row r="266" spans="1:11" ht="15.6">
      <c r="A266" s="245">
        <v>45888</v>
      </c>
      <c r="B266" s="146" t="s">
        <v>3039</v>
      </c>
      <c r="C266" s="146" t="s">
        <v>174</v>
      </c>
      <c r="D266" s="146" t="s">
        <v>121</v>
      </c>
      <c r="E266" s="146"/>
      <c r="F266" s="146">
        <v>1000</v>
      </c>
      <c r="G266" s="185"/>
      <c r="H266" s="186">
        <f t="shared" si="3"/>
        <v>253210</v>
      </c>
      <c r="I266" s="146" t="s">
        <v>184</v>
      </c>
      <c r="J266" s="146" t="s">
        <v>2558</v>
      </c>
      <c r="K266" s="188"/>
    </row>
    <row r="267" spans="1:11" ht="15.6">
      <c r="A267" s="245">
        <v>45888</v>
      </c>
      <c r="B267" s="146" t="s">
        <v>3041</v>
      </c>
      <c r="C267" s="146" t="s">
        <v>174</v>
      </c>
      <c r="D267" s="146" t="s">
        <v>121</v>
      </c>
      <c r="E267" s="146"/>
      <c r="F267" s="146">
        <v>1000</v>
      </c>
      <c r="G267" s="185"/>
      <c r="H267" s="186">
        <f t="shared" si="3"/>
        <v>252210</v>
      </c>
      <c r="I267" s="146" t="s">
        <v>184</v>
      </c>
      <c r="J267" s="146" t="s">
        <v>2558</v>
      </c>
      <c r="K267" s="188"/>
    </row>
    <row r="268" spans="1:11" ht="15.6">
      <c r="A268" s="245">
        <v>45888</v>
      </c>
      <c r="B268" s="146" t="s">
        <v>3037</v>
      </c>
      <c r="C268" s="146" t="s">
        <v>174</v>
      </c>
      <c r="D268" s="146" t="s">
        <v>121</v>
      </c>
      <c r="E268" s="146"/>
      <c r="F268" s="146">
        <v>500</v>
      </c>
      <c r="G268" s="185"/>
      <c r="H268" s="186">
        <f t="shared" si="3"/>
        <v>251710</v>
      </c>
      <c r="I268" s="146" t="s">
        <v>184</v>
      </c>
      <c r="J268" s="146" t="s">
        <v>2558</v>
      </c>
      <c r="K268" s="188"/>
    </row>
    <row r="269" spans="1:11" ht="15.6">
      <c r="A269" s="245">
        <v>45889</v>
      </c>
      <c r="B269" s="146" t="s">
        <v>3039</v>
      </c>
      <c r="C269" s="146" t="s">
        <v>174</v>
      </c>
      <c r="D269" s="146" t="s">
        <v>121</v>
      </c>
      <c r="E269" s="146"/>
      <c r="F269" s="146">
        <v>1000</v>
      </c>
      <c r="G269" s="185"/>
      <c r="H269" s="186">
        <f t="shared" si="3"/>
        <v>250710</v>
      </c>
      <c r="I269" s="146" t="s">
        <v>184</v>
      </c>
      <c r="J269" s="146" t="s">
        <v>2558</v>
      </c>
      <c r="K269" s="188"/>
    </row>
    <row r="270" spans="1:11" ht="15.6">
      <c r="A270" s="245">
        <v>45889</v>
      </c>
      <c r="B270" s="146" t="s">
        <v>3039</v>
      </c>
      <c r="C270" s="146" t="s">
        <v>174</v>
      </c>
      <c r="D270" s="146" t="s">
        <v>121</v>
      </c>
      <c r="E270" s="146"/>
      <c r="F270" s="146">
        <v>1000</v>
      </c>
      <c r="G270" s="185"/>
      <c r="H270" s="186">
        <f t="shared" si="3"/>
        <v>249710</v>
      </c>
      <c r="I270" s="146" t="s">
        <v>184</v>
      </c>
      <c r="J270" s="146" t="s">
        <v>2558</v>
      </c>
      <c r="K270" s="188"/>
    </row>
    <row r="271" spans="1:11" ht="15.6">
      <c r="A271" s="245">
        <v>45889</v>
      </c>
      <c r="B271" s="146" t="s">
        <v>3039</v>
      </c>
      <c r="C271" s="146" t="s">
        <v>174</v>
      </c>
      <c r="D271" s="146" t="s">
        <v>121</v>
      </c>
      <c r="E271" s="146"/>
      <c r="F271" s="146">
        <v>1000</v>
      </c>
      <c r="G271" s="185"/>
      <c r="H271" s="186">
        <f t="shared" si="3"/>
        <v>248710</v>
      </c>
      <c r="I271" s="146" t="s">
        <v>184</v>
      </c>
      <c r="J271" s="146" t="s">
        <v>2558</v>
      </c>
      <c r="K271" s="188"/>
    </row>
    <row r="272" spans="1:11" ht="15.6">
      <c r="A272" s="245">
        <v>45889</v>
      </c>
      <c r="B272" s="146" t="s">
        <v>3041</v>
      </c>
      <c r="C272" s="146" t="s">
        <v>174</v>
      </c>
      <c r="D272" s="146" t="s">
        <v>121</v>
      </c>
      <c r="E272" s="146"/>
      <c r="F272" s="146">
        <v>1000</v>
      </c>
      <c r="G272" s="185"/>
      <c r="H272" s="186">
        <f t="shared" si="3"/>
        <v>247710</v>
      </c>
      <c r="I272" s="146" t="s">
        <v>184</v>
      </c>
      <c r="J272" s="146" t="s">
        <v>2558</v>
      </c>
      <c r="K272" s="188"/>
    </row>
    <row r="273" spans="1:11" ht="15.6">
      <c r="A273" s="245">
        <v>45890</v>
      </c>
      <c r="B273" s="146" t="s">
        <v>3041</v>
      </c>
      <c r="C273" s="146" t="s">
        <v>174</v>
      </c>
      <c r="D273" s="146" t="s">
        <v>121</v>
      </c>
      <c r="E273" s="146"/>
      <c r="F273" s="146">
        <v>1000</v>
      </c>
      <c r="G273" s="185"/>
      <c r="H273" s="186">
        <f t="shared" si="3"/>
        <v>246710</v>
      </c>
      <c r="I273" s="146" t="s">
        <v>184</v>
      </c>
      <c r="J273" s="146" t="s">
        <v>2558</v>
      </c>
      <c r="K273" s="188"/>
    </row>
    <row r="274" spans="1:11" ht="15.6">
      <c r="A274" s="245">
        <v>45890</v>
      </c>
      <c r="B274" s="146" t="s">
        <v>3041</v>
      </c>
      <c r="C274" s="146" t="s">
        <v>174</v>
      </c>
      <c r="D274" s="146" t="s">
        <v>121</v>
      </c>
      <c r="E274" s="146"/>
      <c r="F274" s="146">
        <v>1000</v>
      </c>
      <c r="G274" s="185"/>
      <c r="H274" s="186">
        <f t="shared" si="3"/>
        <v>245710</v>
      </c>
      <c r="I274" s="146" t="s">
        <v>184</v>
      </c>
      <c r="J274" s="146" t="s">
        <v>2558</v>
      </c>
      <c r="K274" s="188"/>
    </row>
    <row r="275" spans="1:11" ht="15.6">
      <c r="A275" s="245">
        <v>45890</v>
      </c>
      <c r="B275" s="146" t="s">
        <v>3037</v>
      </c>
      <c r="C275" s="146" t="s">
        <v>174</v>
      </c>
      <c r="D275" s="146" t="s">
        <v>121</v>
      </c>
      <c r="E275" s="146"/>
      <c r="F275" s="146">
        <v>500</v>
      </c>
      <c r="G275" s="185"/>
      <c r="H275" s="186">
        <f t="shared" si="3"/>
        <v>245210</v>
      </c>
      <c r="I275" s="146" t="s">
        <v>184</v>
      </c>
      <c r="J275" s="146" t="s">
        <v>2558</v>
      </c>
      <c r="K275" s="188"/>
    </row>
    <row r="276" spans="1:11" ht="15.6">
      <c r="A276" s="245">
        <v>45890</v>
      </c>
      <c r="B276" s="146" t="s">
        <v>3041</v>
      </c>
      <c r="C276" s="146" t="s">
        <v>174</v>
      </c>
      <c r="D276" s="146" t="s">
        <v>121</v>
      </c>
      <c r="E276" s="146"/>
      <c r="F276" s="146">
        <v>1000</v>
      </c>
      <c r="G276" s="185"/>
      <c r="H276" s="186">
        <f t="shared" si="3"/>
        <v>244210</v>
      </c>
      <c r="I276" s="146" t="s">
        <v>184</v>
      </c>
      <c r="J276" s="146" t="s">
        <v>2558</v>
      </c>
      <c r="K276" s="188"/>
    </row>
    <row r="277" spans="1:11" ht="15.6">
      <c r="A277" s="245">
        <v>45891</v>
      </c>
      <c r="B277" s="146" t="s">
        <v>3039</v>
      </c>
      <c r="C277" s="146" t="s">
        <v>174</v>
      </c>
      <c r="D277" s="146" t="s">
        <v>121</v>
      </c>
      <c r="E277" s="146"/>
      <c r="F277" s="146">
        <v>1000</v>
      </c>
      <c r="G277" s="185"/>
      <c r="H277" s="186">
        <f t="shared" si="3"/>
        <v>243210</v>
      </c>
      <c r="I277" s="146" t="s">
        <v>184</v>
      </c>
      <c r="J277" s="146" t="s">
        <v>2558</v>
      </c>
      <c r="K277" s="188"/>
    </row>
    <row r="278" spans="1:11" ht="15.6">
      <c r="A278" s="245">
        <v>45891</v>
      </c>
      <c r="B278" s="146" t="s">
        <v>3039</v>
      </c>
      <c r="C278" s="146" t="s">
        <v>174</v>
      </c>
      <c r="D278" s="146" t="s">
        <v>121</v>
      </c>
      <c r="E278" s="146"/>
      <c r="F278" s="146">
        <v>1000</v>
      </c>
      <c r="G278" s="185"/>
      <c r="H278" s="186">
        <f t="shared" si="3"/>
        <v>242210</v>
      </c>
      <c r="I278" s="146" t="s">
        <v>184</v>
      </c>
      <c r="J278" s="146" t="s">
        <v>2558</v>
      </c>
      <c r="K278" s="188"/>
    </row>
    <row r="279" spans="1:11" ht="15.6">
      <c r="A279" s="245">
        <v>45891</v>
      </c>
      <c r="B279" s="146" t="s">
        <v>3039</v>
      </c>
      <c r="C279" s="146" t="s">
        <v>174</v>
      </c>
      <c r="D279" s="146" t="s">
        <v>121</v>
      </c>
      <c r="E279" s="146"/>
      <c r="F279" s="146">
        <v>1000</v>
      </c>
      <c r="G279" s="185"/>
      <c r="H279" s="186">
        <f t="shared" si="3"/>
        <v>241210</v>
      </c>
      <c r="I279" s="146" t="s">
        <v>184</v>
      </c>
      <c r="J279" s="146" t="s">
        <v>2558</v>
      </c>
      <c r="K279" s="188"/>
    </row>
    <row r="280" spans="1:11" ht="15.6">
      <c r="A280" s="245">
        <v>45891</v>
      </c>
      <c r="B280" s="146" t="s">
        <v>3039</v>
      </c>
      <c r="C280" s="146" t="s">
        <v>174</v>
      </c>
      <c r="D280" s="146" t="s">
        <v>121</v>
      </c>
      <c r="E280" s="146"/>
      <c r="F280" s="146">
        <v>1000</v>
      </c>
      <c r="G280" s="185"/>
      <c r="H280" s="186">
        <f t="shared" si="3"/>
        <v>240210</v>
      </c>
      <c r="I280" s="146" t="s">
        <v>184</v>
      </c>
      <c r="J280" s="146" t="s">
        <v>2558</v>
      </c>
      <c r="K280" s="188"/>
    </row>
    <row r="281" spans="1:11" ht="15.6">
      <c r="A281" s="245">
        <v>45891</v>
      </c>
      <c r="B281" s="146" t="s">
        <v>3042</v>
      </c>
      <c r="C281" s="146" t="s">
        <v>174</v>
      </c>
      <c r="D281" s="146" t="s">
        <v>121</v>
      </c>
      <c r="E281" s="146"/>
      <c r="F281" s="146">
        <v>500</v>
      </c>
      <c r="G281" s="185"/>
      <c r="H281" s="186">
        <f t="shared" si="3"/>
        <v>239710</v>
      </c>
      <c r="I281" s="146" t="s">
        <v>184</v>
      </c>
      <c r="J281" s="146" t="s">
        <v>2558</v>
      </c>
      <c r="K281" s="188"/>
    </row>
    <row r="282" spans="1:11" ht="15.6">
      <c r="A282" s="245">
        <v>45891</v>
      </c>
      <c r="B282" s="146" t="s">
        <v>3039</v>
      </c>
      <c r="C282" s="146" t="s">
        <v>174</v>
      </c>
      <c r="D282" s="146" t="s">
        <v>121</v>
      </c>
      <c r="E282" s="146"/>
      <c r="F282" s="146">
        <v>1000</v>
      </c>
      <c r="G282" s="185"/>
      <c r="H282" s="186">
        <f t="shared" si="3"/>
        <v>238710</v>
      </c>
      <c r="I282" s="146" t="s">
        <v>184</v>
      </c>
      <c r="J282" s="146" t="s">
        <v>2558</v>
      </c>
      <c r="K282" s="188"/>
    </row>
    <row r="283" spans="1:11" ht="15.6">
      <c r="A283" s="245">
        <v>45891</v>
      </c>
      <c r="B283" s="146" t="s">
        <v>3037</v>
      </c>
      <c r="C283" s="146" t="s">
        <v>174</v>
      </c>
      <c r="D283" s="146" t="s">
        <v>121</v>
      </c>
      <c r="E283" s="146"/>
      <c r="F283" s="146">
        <v>500</v>
      </c>
      <c r="G283" s="185"/>
      <c r="H283" s="186">
        <f t="shared" si="3"/>
        <v>238210</v>
      </c>
      <c r="I283" s="146" t="s">
        <v>184</v>
      </c>
      <c r="J283" s="146" t="s">
        <v>2558</v>
      </c>
      <c r="K283" s="188"/>
    </row>
    <row r="284" spans="1:11" ht="15.6">
      <c r="A284" s="245">
        <v>45891</v>
      </c>
      <c r="B284" s="146" t="s">
        <v>3041</v>
      </c>
      <c r="C284" s="146" t="s">
        <v>174</v>
      </c>
      <c r="D284" s="146" t="s">
        <v>121</v>
      </c>
      <c r="E284" s="146"/>
      <c r="F284" s="146">
        <v>1000</v>
      </c>
      <c r="G284" s="185"/>
      <c r="H284" s="186">
        <f t="shared" si="3"/>
        <v>237210</v>
      </c>
      <c r="I284" s="146" t="s">
        <v>184</v>
      </c>
      <c r="J284" s="146" t="s">
        <v>2558</v>
      </c>
      <c r="K284" s="188"/>
    </row>
    <row r="285" spans="1:11" ht="15.6">
      <c r="A285" s="245">
        <v>45891</v>
      </c>
      <c r="B285" s="146" t="s">
        <v>2554</v>
      </c>
      <c r="C285" s="146" t="s">
        <v>124</v>
      </c>
      <c r="D285" s="146" t="s">
        <v>121</v>
      </c>
      <c r="E285" s="146">
        <v>465000</v>
      </c>
      <c r="F285" s="146"/>
      <c r="G285" s="185"/>
      <c r="H285" s="186">
        <f t="shared" si="3"/>
        <v>702210</v>
      </c>
      <c r="I285" s="146" t="s">
        <v>184</v>
      </c>
      <c r="J285" s="146" t="s">
        <v>2570</v>
      </c>
      <c r="K285" s="188"/>
    </row>
    <row r="286" spans="1:11" ht="15.6">
      <c r="A286" s="245">
        <v>45892</v>
      </c>
      <c r="B286" s="146" t="s">
        <v>3039</v>
      </c>
      <c r="C286" s="146" t="s">
        <v>174</v>
      </c>
      <c r="D286" s="146" t="s">
        <v>121</v>
      </c>
      <c r="E286" s="146"/>
      <c r="F286" s="146">
        <v>1000</v>
      </c>
      <c r="G286" s="185"/>
      <c r="H286" s="186">
        <f t="shared" si="3"/>
        <v>701210</v>
      </c>
      <c r="I286" s="146" t="s">
        <v>184</v>
      </c>
      <c r="J286" s="146" t="s">
        <v>2558</v>
      </c>
      <c r="K286" s="188"/>
    </row>
    <row r="287" spans="1:11" ht="15.6">
      <c r="A287" s="245">
        <v>45892</v>
      </c>
      <c r="B287" s="146" t="s">
        <v>3041</v>
      </c>
      <c r="C287" s="146" t="s">
        <v>174</v>
      </c>
      <c r="D287" s="146" t="s">
        <v>121</v>
      </c>
      <c r="E287" s="146"/>
      <c r="F287" s="146">
        <v>1000</v>
      </c>
      <c r="G287" s="185"/>
      <c r="H287" s="186">
        <f t="shared" si="3"/>
        <v>700210</v>
      </c>
      <c r="I287" s="146" t="s">
        <v>184</v>
      </c>
      <c r="J287" s="146" t="s">
        <v>2558</v>
      </c>
      <c r="K287" s="188"/>
    </row>
    <row r="288" spans="1:11" ht="15.6">
      <c r="A288" s="245">
        <v>45892</v>
      </c>
      <c r="B288" s="146" t="s">
        <v>3042</v>
      </c>
      <c r="C288" s="146" t="s">
        <v>174</v>
      </c>
      <c r="D288" s="146" t="s">
        <v>121</v>
      </c>
      <c r="E288" s="146"/>
      <c r="F288" s="146">
        <v>500</v>
      </c>
      <c r="G288" s="185"/>
      <c r="H288" s="186">
        <f t="shared" si="3"/>
        <v>699710</v>
      </c>
      <c r="I288" s="146" t="s">
        <v>184</v>
      </c>
      <c r="J288" s="146" t="s">
        <v>2558</v>
      </c>
      <c r="K288" s="188"/>
    </row>
    <row r="289" spans="1:11" ht="15.6">
      <c r="A289" s="245">
        <v>45892</v>
      </c>
      <c r="B289" s="146" t="s">
        <v>3039</v>
      </c>
      <c r="C289" s="146" t="s">
        <v>174</v>
      </c>
      <c r="D289" s="146" t="s">
        <v>121</v>
      </c>
      <c r="E289" s="146"/>
      <c r="F289" s="146">
        <v>1000</v>
      </c>
      <c r="G289" s="185"/>
      <c r="H289" s="186">
        <f t="shared" si="3"/>
        <v>698710</v>
      </c>
      <c r="I289" s="146" t="s">
        <v>184</v>
      </c>
      <c r="J289" s="146" t="s">
        <v>2558</v>
      </c>
      <c r="K289" s="188"/>
    </row>
    <row r="290" spans="1:11" ht="15.6">
      <c r="A290" s="245">
        <v>45892</v>
      </c>
      <c r="B290" s="146" t="s">
        <v>3037</v>
      </c>
      <c r="C290" s="146" t="s">
        <v>174</v>
      </c>
      <c r="D290" s="146" t="s">
        <v>121</v>
      </c>
      <c r="E290" s="146"/>
      <c r="F290" s="146">
        <v>500</v>
      </c>
      <c r="G290" s="185"/>
      <c r="H290" s="186">
        <f t="shared" si="3"/>
        <v>698210</v>
      </c>
      <c r="I290" s="146" t="s">
        <v>184</v>
      </c>
      <c r="J290" s="146" t="s">
        <v>2558</v>
      </c>
      <c r="K290" s="188"/>
    </row>
    <row r="291" spans="1:11" ht="15.6">
      <c r="A291" s="245">
        <v>45892</v>
      </c>
      <c r="B291" s="146" t="s">
        <v>3041</v>
      </c>
      <c r="C291" s="146" t="s">
        <v>174</v>
      </c>
      <c r="D291" s="146" t="s">
        <v>121</v>
      </c>
      <c r="E291" s="146"/>
      <c r="F291" s="146">
        <v>1000</v>
      </c>
      <c r="G291" s="185"/>
      <c r="H291" s="186">
        <f t="shared" ref="H291:H307" si="4">H290+E291-F291</f>
        <v>697210</v>
      </c>
      <c r="I291" s="146" t="s">
        <v>184</v>
      </c>
      <c r="J291" s="146" t="s">
        <v>2558</v>
      </c>
      <c r="K291" s="188"/>
    </row>
    <row r="292" spans="1:11" ht="15.6">
      <c r="A292" s="245">
        <v>45893</v>
      </c>
      <c r="B292" s="146" t="s">
        <v>3041</v>
      </c>
      <c r="C292" s="146" t="s">
        <v>174</v>
      </c>
      <c r="D292" s="146" t="s">
        <v>121</v>
      </c>
      <c r="E292" s="146"/>
      <c r="F292" s="146">
        <v>1000</v>
      </c>
      <c r="G292" s="185"/>
      <c r="H292" s="186">
        <f t="shared" si="4"/>
        <v>696210</v>
      </c>
      <c r="I292" s="146" t="s">
        <v>184</v>
      </c>
      <c r="J292" s="146" t="s">
        <v>2558</v>
      </c>
      <c r="K292" s="188"/>
    </row>
    <row r="293" spans="1:11" ht="15.6">
      <c r="A293" s="245">
        <v>45893</v>
      </c>
      <c r="B293" s="146" t="s">
        <v>3041</v>
      </c>
      <c r="C293" s="146" t="s">
        <v>174</v>
      </c>
      <c r="D293" s="146" t="s">
        <v>121</v>
      </c>
      <c r="E293" s="146"/>
      <c r="F293" s="146">
        <v>1000</v>
      </c>
      <c r="G293" s="185"/>
      <c r="H293" s="186">
        <f t="shared" si="4"/>
        <v>695210</v>
      </c>
      <c r="I293" s="146" t="s">
        <v>184</v>
      </c>
      <c r="J293" s="146" t="s">
        <v>2558</v>
      </c>
      <c r="K293" s="188"/>
    </row>
    <row r="294" spans="1:11" ht="15.6">
      <c r="A294" s="245">
        <v>45894</v>
      </c>
      <c r="B294" s="146" t="s">
        <v>3026</v>
      </c>
      <c r="C294" s="146" t="s">
        <v>177</v>
      </c>
      <c r="D294" s="146" t="s">
        <v>121</v>
      </c>
      <c r="E294" s="146"/>
      <c r="F294" s="146">
        <v>135000</v>
      </c>
      <c r="G294" s="185"/>
      <c r="H294" s="186">
        <f t="shared" si="4"/>
        <v>560210</v>
      </c>
      <c r="I294" s="146" t="s">
        <v>184</v>
      </c>
      <c r="J294" s="177" t="s">
        <v>2571</v>
      </c>
      <c r="K294" s="188"/>
    </row>
    <row r="295" spans="1:11" ht="15.6">
      <c r="A295" s="245">
        <v>45894</v>
      </c>
      <c r="B295" s="146" t="s">
        <v>3075</v>
      </c>
      <c r="C295" s="146" t="s">
        <v>174</v>
      </c>
      <c r="D295" s="146" t="s">
        <v>121</v>
      </c>
      <c r="E295" s="146"/>
      <c r="F295" s="146">
        <v>350000</v>
      </c>
      <c r="G295" s="185"/>
      <c r="H295" s="186">
        <f t="shared" si="4"/>
        <v>210210</v>
      </c>
      <c r="I295" s="146" t="s">
        <v>184</v>
      </c>
      <c r="J295" s="177" t="s">
        <v>2572</v>
      </c>
      <c r="K295" s="188"/>
    </row>
    <row r="296" spans="1:11" ht="15.6">
      <c r="A296" s="245">
        <v>45894</v>
      </c>
      <c r="B296" s="146" t="s">
        <v>3044</v>
      </c>
      <c r="C296" s="146" t="s">
        <v>174</v>
      </c>
      <c r="D296" s="146" t="s">
        <v>121</v>
      </c>
      <c r="E296" s="146"/>
      <c r="F296" s="146">
        <v>1000</v>
      </c>
      <c r="G296" s="185"/>
      <c r="H296" s="186">
        <f t="shared" si="4"/>
        <v>209210</v>
      </c>
      <c r="I296" s="146" t="s">
        <v>184</v>
      </c>
      <c r="J296" s="146" t="s">
        <v>2558</v>
      </c>
      <c r="K296" s="188"/>
    </row>
    <row r="297" spans="1:11" ht="15.6">
      <c r="A297" s="245">
        <v>45894</v>
      </c>
      <c r="B297" s="146" t="s">
        <v>2554</v>
      </c>
      <c r="C297" s="146" t="s">
        <v>124</v>
      </c>
      <c r="D297" s="146" t="s">
        <v>121</v>
      </c>
      <c r="E297" s="146">
        <v>203000</v>
      </c>
      <c r="F297" s="146"/>
      <c r="G297" s="185"/>
      <c r="H297" s="186">
        <f t="shared" si="4"/>
        <v>412210</v>
      </c>
      <c r="I297" s="146" t="s">
        <v>184</v>
      </c>
      <c r="J297" s="146" t="s">
        <v>2573</v>
      </c>
      <c r="K297" s="188"/>
    </row>
    <row r="298" spans="1:11" ht="15.6">
      <c r="A298" s="245">
        <v>45895</v>
      </c>
      <c r="B298" s="146" t="s">
        <v>3026</v>
      </c>
      <c r="C298" s="146" t="s">
        <v>177</v>
      </c>
      <c r="D298" s="146" t="s">
        <v>121</v>
      </c>
      <c r="E298" s="146"/>
      <c r="F298" s="146">
        <v>75000</v>
      </c>
      <c r="G298" s="185"/>
      <c r="H298" s="186">
        <f t="shared" si="4"/>
        <v>337210</v>
      </c>
      <c r="I298" s="146" t="s">
        <v>184</v>
      </c>
      <c r="J298" s="177" t="s">
        <v>2574</v>
      </c>
      <c r="K298" s="188"/>
    </row>
    <row r="299" spans="1:11" ht="15.6">
      <c r="A299" s="245">
        <v>45895</v>
      </c>
      <c r="B299" s="146" t="s">
        <v>3026</v>
      </c>
      <c r="C299" s="146" t="s">
        <v>177</v>
      </c>
      <c r="D299" s="146" t="s">
        <v>121</v>
      </c>
      <c r="E299" s="146"/>
      <c r="F299" s="146">
        <v>75000</v>
      </c>
      <c r="G299" s="185"/>
      <c r="H299" s="186">
        <f t="shared" si="4"/>
        <v>262210</v>
      </c>
      <c r="I299" s="146" t="s">
        <v>184</v>
      </c>
      <c r="J299" s="177" t="s">
        <v>2575</v>
      </c>
      <c r="K299" s="188"/>
    </row>
    <row r="300" spans="1:11" ht="15.6">
      <c r="A300" s="245">
        <v>45897</v>
      </c>
      <c r="B300" s="146" t="s">
        <v>3037</v>
      </c>
      <c r="C300" s="146" t="s">
        <v>174</v>
      </c>
      <c r="D300" s="146" t="s">
        <v>121</v>
      </c>
      <c r="E300" s="146"/>
      <c r="F300" s="146">
        <v>500</v>
      </c>
      <c r="G300" s="185"/>
      <c r="H300" s="186">
        <f t="shared" si="4"/>
        <v>261710</v>
      </c>
      <c r="I300" s="146" t="s">
        <v>184</v>
      </c>
      <c r="J300" s="146" t="s">
        <v>2558</v>
      </c>
      <c r="K300" s="188"/>
    </row>
    <row r="301" spans="1:11" ht="15.6">
      <c r="A301" s="245">
        <v>45897</v>
      </c>
      <c r="B301" s="146" t="s">
        <v>3042</v>
      </c>
      <c r="C301" s="146" t="s">
        <v>174</v>
      </c>
      <c r="D301" s="146" t="s">
        <v>121</v>
      </c>
      <c r="E301" s="146"/>
      <c r="F301" s="146">
        <v>500</v>
      </c>
      <c r="G301" s="185"/>
      <c r="H301" s="186">
        <f t="shared" si="4"/>
        <v>261210</v>
      </c>
      <c r="I301" s="146" t="s">
        <v>184</v>
      </c>
      <c r="J301" s="146" t="s">
        <v>2558</v>
      </c>
      <c r="K301" s="188"/>
    </row>
    <row r="302" spans="1:11" ht="15.6">
      <c r="A302" s="245">
        <v>45897</v>
      </c>
      <c r="B302" s="146" t="s">
        <v>3042</v>
      </c>
      <c r="C302" s="146" t="s">
        <v>174</v>
      </c>
      <c r="D302" s="146" t="s">
        <v>121</v>
      </c>
      <c r="E302" s="146"/>
      <c r="F302" s="146">
        <v>500</v>
      </c>
      <c r="G302" s="185"/>
      <c r="H302" s="186">
        <f t="shared" si="4"/>
        <v>260710</v>
      </c>
      <c r="I302" s="146" t="s">
        <v>184</v>
      </c>
      <c r="J302" s="146" t="s">
        <v>2558</v>
      </c>
      <c r="K302" s="188"/>
    </row>
    <row r="303" spans="1:11" ht="15.6">
      <c r="A303" s="245">
        <v>45898</v>
      </c>
      <c r="B303" s="146" t="s">
        <v>3037</v>
      </c>
      <c r="C303" s="146" t="s">
        <v>174</v>
      </c>
      <c r="D303" s="146" t="s">
        <v>121</v>
      </c>
      <c r="E303" s="146"/>
      <c r="F303" s="146">
        <v>500</v>
      </c>
      <c r="G303" s="185"/>
      <c r="H303" s="186">
        <f t="shared" si="4"/>
        <v>260210</v>
      </c>
      <c r="I303" s="146" t="s">
        <v>184</v>
      </c>
      <c r="J303" s="146" t="s">
        <v>2558</v>
      </c>
      <c r="K303" s="188"/>
    </row>
    <row r="304" spans="1:11" ht="15.6">
      <c r="A304" s="245">
        <v>45898</v>
      </c>
      <c r="B304" s="146" t="s">
        <v>3042</v>
      </c>
      <c r="C304" s="146" t="s">
        <v>174</v>
      </c>
      <c r="D304" s="146" t="s">
        <v>121</v>
      </c>
      <c r="E304" s="146"/>
      <c r="F304" s="146">
        <v>500</v>
      </c>
      <c r="G304" s="185"/>
      <c r="H304" s="186">
        <f t="shared" si="4"/>
        <v>259710</v>
      </c>
      <c r="I304" s="146" t="s">
        <v>184</v>
      </c>
      <c r="J304" s="146" t="s">
        <v>2558</v>
      </c>
      <c r="K304" s="188"/>
    </row>
    <row r="305" spans="1:11" ht="15.6">
      <c r="A305" s="245">
        <v>45900</v>
      </c>
      <c r="B305" s="146" t="s">
        <v>3076</v>
      </c>
      <c r="C305" s="146" t="s">
        <v>174</v>
      </c>
      <c r="D305" s="146" t="s">
        <v>121</v>
      </c>
      <c r="E305" s="146"/>
      <c r="F305" s="146">
        <v>35000</v>
      </c>
      <c r="G305" s="185"/>
      <c r="H305" s="186">
        <f t="shared" si="4"/>
        <v>224710</v>
      </c>
      <c r="I305" s="146" t="s">
        <v>184</v>
      </c>
      <c r="J305" s="177" t="s">
        <v>2576</v>
      </c>
      <c r="K305" s="188"/>
    </row>
    <row r="306" spans="1:11" ht="15.6">
      <c r="A306" s="245">
        <v>45900</v>
      </c>
      <c r="B306" s="146" t="s">
        <v>3026</v>
      </c>
      <c r="C306" s="146" t="s">
        <v>177</v>
      </c>
      <c r="D306" s="146" t="s">
        <v>121</v>
      </c>
      <c r="E306" s="146"/>
      <c r="F306" s="146">
        <v>90000</v>
      </c>
      <c r="G306" s="185"/>
      <c r="H306" s="186">
        <f t="shared" si="4"/>
        <v>134710</v>
      </c>
      <c r="I306" s="146" t="s">
        <v>184</v>
      </c>
      <c r="J306" s="177" t="s">
        <v>2577</v>
      </c>
      <c r="K306" s="188"/>
    </row>
    <row r="307" spans="1:11" ht="15.6">
      <c r="A307" s="245">
        <v>45900</v>
      </c>
      <c r="B307" s="146" t="s">
        <v>3045</v>
      </c>
      <c r="C307" s="146" t="s">
        <v>174</v>
      </c>
      <c r="D307" s="146" t="s">
        <v>121</v>
      </c>
      <c r="E307" s="146"/>
      <c r="F307" s="146">
        <v>1000</v>
      </c>
      <c r="G307" s="185"/>
      <c r="H307" s="186">
        <f t="shared" si="4"/>
        <v>133710</v>
      </c>
      <c r="I307" s="146" t="s">
        <v>184</v>
      </c>
      <c r="J307" s="146" t="s">
        <v>2558</v>
      </c>
      <c r="K307" s="188"/>
    </row>
    <row r="308" spans="1:11" ht="15.6">
      <c r="A308" s="180"/>
      <c r="B308" s="188"/>
      <c r="C308" s="188"/>
      <c r="D308" s="188"/>
      <c r="E308" s="201">
        <f>SUM(E226:E307)</f>
        <v>1093000</v>
      </c>
      <c r="F308" s="201">
        <f>SUM(F226:F307)</f>
        <v>1106000</v>
      </c>
      <c r="G308" s="201"/>
      <c r="H308" s="209">
        <f>+E308-F308+H225</f>
        <v>133710</v>
      </c>
      <c r="I308" s="188"/>
      <c r="J308" s="188"/>
      <c r="K308" s="188"/>
    </row>
    <row r="309" spans="1:11" ht="15.6">
      <c r="A309" s="190"/>
      <c r="B309" s="188"/>
      <c r="C309" s="188"/>
      <c r="D309" s="188"/>
      <c r="E309" s="192"/>
      <c r="F309" s="192"/>
      <c r="G309" s="192"/>
      <c r="H309" s="193"/>
      <c r="I309" s="188"/>
      <c r="J309" s="188"/>
      <c r="K309" s="188"/>
    </row>
    <row r="310" spans="1:11" ht="15.6">
      <c r="A310" s="190"/>
      <c r="B310" s="188"/>
      <c r="C310" s="191" t="s">
        <v>456</v>
      </c>
      <c r="D310" s="188"/>
      <c r="E310" s="192"/>
      <c r="F310" s="192"/>
      <c r="G310" s="192"/>
      <c r="H310" s="193"/>
      <c r="I310" s="188"/>
      <c r="J310" s="188"/>
      <c r="K310" s="188"/>
    </row>
    <row r="311" spans="1:11" ht="15.6">
      <c r="A311" s="190"/>
      <c r="B311" s="188"/>
      <c r="C311" s="188"/>
      <c r="D311" s="188"/>
      <c r="E311" s="192"/>
      <c r="F311" s="192"/>
      <c r="G311" s="192"/>
      <c r="H311" s="193"/>
      <c r="I311" s="188"/>
      <c r="J311" s="188"/>
      <c r="K311" s="188"/>
    </row>
    <row r="312" spans="1:11" ht="15.6">
      <c r="A312" s="194" t="s">
        <v>0</v>
      </c>
      <c r="B312" s="195" t="s">
        <v>445</v>
      </c>
      <c r="C312" s="195" t="s">
        <v>446</v>
      </c>
      <c r="D312" s="195" t="s">
        <v>447</v>
      </c>
      <c r="E312" s="196" t="s">
        <v>448</v>
      </c>
      <c r="F312" s="196" t="s">
        <v>449</v>
      </c>
      <c r="G312" s="196"/>
      <c r="H312" s="203" t="s">
        <v>30</v>
      </c>
      <c r="I312" s="195" t="s">
        <v>450</v>
      </c>
      <c r="J312" s="195" t="s">
        <v>451</v>
      </c>
      <c r="K312" s="198"/>
    </row>
    <row r="313" spans="1:11" ht="15.6">
      <c r="A313" s="148">
        <v>45870</v>
      </c>
      <c r="B313" s="182" t="s">
        <v>2883</v>
      </c>
      <c r="C313" s="182"/>
      <c r="D313" s="182"/>
      <c r="E313" s="185"/>
      <c r="F313" s="185"/>
      <c r="G313" s="185"/>
      <c r="H313" s="186">
        <v>107950</v>
      </c>
      <c r="I313" s="182" t="s">
        <v>175</v>
      </c>
      <c r="J313" s="182"/>
      <c r="K313" s="188"/>
    </row>
    <row r="314" spans="1:11" ht="15.6">
      <c r="A314" s="468">
        <v>45876</v>
      </c>
      <c r="B314" s="177" t="s">
        <v>2578</v>
      </c>
      <c r="C314" s="177" t="s">
        <v>152</v>
      </c>
      <c r="D314" s="177" t="s">
        <v>121</v>
      </c>
      <c r="E314" s="184">
        <v>5000</v>
      </c>
      <c r="F314" s="184"/>
      <c r="G314" s="185"/>
      <c r="H314" s="186">
        <f>H313+E314-F314</f>
        <v>112950</v>
      </c>
      <c r="I314" s="184" t="s">
        <v>175</v>
      </c>
      <c r="J314" s="184" t="s">
        <v>2587</v>
      </c>
      <c r="K314" s="188"/>
    </row>
    <row r="315" spans="1:11" ht="15.6">
      <c r="A315" s="468">
        <v>45876</v>
      </c>
      <c r="B315" s="177" t="s">
        <v>2578</v>
      </c>
      <c r="C315" s="177" t="s">
        <v>152</v>
      </c>
      <c r="D315" s="177" t="s">
        <v>121</v>
      </c>
      <c r="E315" s="184"/>
      <c r="F315" s="184">
        <v>5000</v>
      </c>
      <c r="G315" s="185"/>
      <c r="H315" s="186">
        <f t="shared" ref="H315:H378" si="5">H314+E315-F315</f>
        <v>107950</v>
      </c>
      <c r="I315" s="184" t="s">
        <v>175</v>
      </c>
      <c r="J315" s="184" t="s">
        <v>2587</v>
      </c>
      <c r="K315" s="188"/>
    </row>
    <row r="316" spans="1:11" ht="15.6">
      <c r="A316" s="468">
        <v>45880</v>
      </c>
      <c r="B316" s="184" t="s">
        <v>3077</v>
      </c>
      <c r="C316" s="184" t="s">
        <v>174</v>
      </c>
      <c r="D316" s="177" t="s">
        <v>121</v>
      </c>
      <c r="E316" s="184"/>
      <c r="F316" s="184">
        <v>1000</v>
      </c>
      <c r="G316" s="185"/>
      <c r="H316" s="186">
        <f t="shared" si="5"/>
        <v>106950</v>
      </c>
      <c r="I316" s="184" t="s">
        <v>175</v>
      </c>
      <c r="J316" s="184" t="s">
        <v>2588</v>
      </c>
      <c r="K316" s="188"/>
    </row>
    <row r="317" spans="1:11" ht="15.6">
      <c r="A317" s="468">
        <v>45880</v>
      </c>
      <c r="B317" s="184" t="s">
        <v>3078</v>
      </c>
      <c r="C317" s="184" t="s">
        <v>174</v>
      </c>
      <c r="D317" s="177" t="s">
        <v>121</v>
      </c>
      <c r="E317" s="184"/>
      <c r="F317" s="184">
        <v>1000</v>
      </c>
      <c r="G317" s="185"/>
      <c r="H317" s="186">
        <f t="shared" si="5"/>
        <v>105950</v>
      </c>
      <c r="I317" s="184" t="s">
        <v>175</v>
      </c>
      <c r="J317" s="184" t="s">
        <v>2588</v>
      </c>
      <c r="K317" s="188"/>
    </row>
    <row r="318" spans="1:11" ht="15.6">
      <c r="A318" s="468">
        <v>45880</v>
      </c>
      <c r="B318" s="184" t="s">
        <v>3079</v>
      </c>
      <c r="C318" s="184" t="s">
        <v>174</v>
      </c>
      <c r="D318" s="177" t="s">
        <v>121</v>
      </c>
      <c r="E318" s="184"/>
      <c r="F318" s="184">
        <v>1000</v>
      </c>
      <c r="G318" s="185"/>
      <c r="H318" s="186">
        <f t="shared" si="5"/>
        <v>104950</v>
      </c>
      <c r="I318" s="184" t="s">
        <v>175</v>
      </c>
      <c r="J318" s="184" t="s">
        <v>2588</v>
      </c>
      <c r="K318" s="188"/>
    </row>
    <row r="319" spans="1:11" ht="15.6">
      <c r="A319" s="468">
        <v>45881</v>
      </c>
      <c r="B319" s="184" t="s">
        <v>2580</v>
      </c>
      <c r="C319" s="184" t="s">
        <v>986</v>
      </c>
      <c r="D319" s="177" t="s">
        <v>121</v>
      </c>
      <c r="E319" s="184">
        <v>10000</v>
      </c>
      <c r="F319" s="184"/>
      <c r="G319" s="185"/>
      <c r="H319" s="186">
        <f t="shared" si="5"/>
        <v>114950</v>
      </c>
      <c r="I319" s="184" t="s">
        <v>175</v>
      </c>
      <c r="J319" s="184" t="s">
        <v>2589</v>
      </c>
      <c r="K319" s="188"/>
    </row>
    <row r="320" spans="1:11" ht="15.6">
      <c r="A320" s="468">
        <v>45881</v>
      </c>
      <c r="B320" s="184" t="s">
        <v>2997</v>
      </c>
      <c r="C320" s="184" t="s">
        <v>174</v>
      </c>
      <c r="D320" s="177" t="s">
        <v>121</v>
      </c>
      <c r="E320" s="184"/>
      <c r="F320" s="184">
        <v>1000</v>
      </c>
      <c r="G320" s="185"/>
      <c r="H320" s="186">
        <f t="shared" si="5"/>
        <v>113950</v>
      </c>
      <c r="I320" s="184" t="s">
        <v>175</v>
      </c>
      <c r="J320" s="184" t="s">
        <v>2588</v>
      </c>
      <c r="K320" s="188"/>
    </row>
    <row r="321" spans="1:11" ht="15.6">
      <c r="A321" s="468">
        <v>45881</v>
      </c>
      <c r="B321" s="184" t="s">
        <v>3057</v>
      </c>
      <c r="C321" s="184" t="s">
        <v>174</v>
      </c>
      <c r="D321" s="177" t="s">
        <v>121</v>
      </c>
      <c r="E321" s="184"/>
      <c r="F321" s="184">
        <v>1000</v>
      </c>
      <c r="G321" s="185"/>
      <c r="H321" s="186">
        <f t="shared" si="5"/>
        <v>112950</v>
      </c>
      <c r="I321" s="184" t="s">
        <v>175</v>
      </c>
      <c r="J321" s="184" t="s">
        <v>2588</v>
      </c>
      <c r="K321" s="188"/>
    </row>
    <row r="322" spans="1:11" ht="15.6">
      <c r="A322" s="468">
        <v>45881</v>
      </c>
      <c r="B322" s="184" t="s">
        <v>3057</v>
      </c>
      <c r="C322" s="184" t="s">
        <v>174</v>
      </c>
      <c r="D322" s="177" t="s">
        <v>121</v>
      </c>
      <c r="E322" s="184"/>
      <c r="F322" s="184">
        <v>1000</v>
      </c>
      <c r="G322" s="185"/>
      <c r="H322" s="186">
        <f t="shared" si="5"/>
        <v>111950</v>
      </c>
      <c r="I322" s="184" t="s">
        <v>175</v>
      </c>
      <c r="J322" s="184" t="s">
        <v>2588</v>
      </c>
      <c r="K322" s="188"/>
    </row>
    <row r="323" spans="1:11" ht="15.6">
      <c r="A323" s="468">
        <v>45881</v>
      </c>
      <c r="B323" s="184" t="s">
        <v>3057</v>
      </c>
      <c r="C323" s="184" t="s">
        <v>174</v>
      </c>
      <c r="D323" s="177" t="s">
        <v>121</v>
      </c>
      <c r="E323" s="184"/>
      <c r="F323" s="184">
        <v>1000</v>
      </c>
      <c r="G323" s="185"/>
      <c r="H323" s="186">
        <f t="shared" si="5"/>
        <v>110950</v>
      </c>
      <c r="I323" s="184" t="s">
        <v>175</v>
      </c>
      <c r="J323" s="184" t="s">
        <v>2588</v>
      </c>
      <c r="K323" s="188"/>
    </row>
    <row r="324" spans="1:11" ht="15.6">
      <c r="A324" s="468">
        <v>45881</v>
      </c>
      <c r="B324" s="184" t="s">
        <v>2581</v>
      </c>
      <c r="C324" s="184" t="s">
        <v>368</v>
      </c>
      <c r="D324" s="177" t="s">
        <v>121</v>
      </c>
      <c r="E324" s="184"/>
      <c r="F324" s="184">
        <v>2000</v>
      </c>
      <c r="G324" s="185"/>
      <c r="H324" s="186">
        <f t="shared" si="5"/>
        <v>108950</v>
      </c>
      <c r="I324" s="184" t="s">
        <v>175</v>
      </c>
      <c r="J324" s="184" t="s">
        <v>2590</v>
      </c>
      <c r="K324" s="188"/>
    </row>
    <row r="325" spans="1:11" ht="15.6">
      <c r="A325" s="468">
        <v>45882</v>
      </c>
      <c r="B325" s="184" t="s">
        <v>2997</v>
      </c>
      <c r="C325" s="184" t="s">
        <v>174</v>
      </c>
      <c r="D325" s="177" t="s">
        <v>121</v>
      </c>
      <c r="E325" s="184"/>
      <c r="F325" s="184">
        <v>1500</v>
      </c>
      <c r="G325" s="185"/>
      <c r="H325" s="186">
        <f t="shared" si="5"/>
        <v>107450</v>
      </c>
      <c r="I325" s="184" t="s">
        <v>175</v>
      </c>
      <c r="J325" s="184" t="s">
        <v>2588</v>
      </c>
      <c r="K325" s="188"/>
    </row>
    <row r="326" spans="1:11" ht="15.6">
      <c r="A326" s="468">
        <v>45882</v>
      </c>
      <c r="B326" s="184" t="s">
        <v>3057</v>
      </c>
      <c r="C326" s="184" t="s">
        <v>174</v>
      </c>
      <c r="D326" s="177" t="s">
        <v>121</v>
      </c>
      <c r="E326" s="184"/>
      <c r="F326" s="184">
        <v>1000</v>
      </c>
      <c r="G326" s="185"/>
      <c r="H326" s="186">
        <f t="shared" si="5"/>
        <v>106450</v>
      </c>
      <c r="I326" s="184" t="s">
        <v>175</v>
      </c>
      <c r="J326" s="184" t="s">
        <v>2588</v>
      </c>
      <c r="K326" s="188"/>
    </row>
    <row r="327" spans="1:11" ht="15.6">
      <c r="A327" s="468">
        <v>45882</v>
      </c>
      <c r="B327" s="184" t="s">
        <v>3057</v>
      </c>
      <c r="C327" s="184" t="s">
        <v>174</v>
      </c>
      <c r="D327" s="177" t="s">
        <v>121</v>
      </c>
      <c r="E327" s="184"/>
      <c r="F327" s="184">
        <v>1000</v>
      </c>
      <c r="G327" s="185"/>
      <c r="H327" s="186">
        <f t="shared" si="5"/>
        <v>105450</v>
      </c>
      <c r="I327" s="184" t="s">
        <v>175</v>
      </c>
      <c r="J327" s="184" t="s">
        <v>2588</v>
      </c>
      <c r="K327" s="188"/>
    </row>
    <row r="328" spans="1:11" ht="15.6">
      <c r="A328" s="468">
        <v>45882</v>
      </c>
      <c r="B328" s="184" t="s">
        <v>3045</v>
      </c>
      <c r="C328" s="184" t="s">
        <v>174</v>
      </c>
      <c r="D328" s="177" t="s">
        <v>121</v>
      </c>
      <c r="E328" s="184"/>
      <c r="F328" s="184">
        <v>2000</v>
      </c>
      <c r="G328" s="185"/>
      <c r="H328" s="186">
        <f t="shared" si="5"/>
        <v>103450</v>
      </c>
      <c r="I328" s="184" t="s">
        <v>175</v>
      </c>
      <c r="J328" s="184" t="s">
        <v>2588</v>
      </c>
      <c r="K328" s="188"/>
    </row>
    <row r="329" spans="1:11" ht="15.6">
      <c r="A329" s="468">
        <v>45882</v>
      </c>
      <c r="B329" s="184" t="s">
        <v>2580</v>
      </c>
      <c r="C329" s="184" t="s">
        <v>986</v>
      </c>
      <c r="D329" s="177" t="s">
        <v>121</v>
      </c>
      <c r="E329" s="184">
        <v>145000</v>
      </c>
      <c r="F329" s="184"/>
      <c r="G329" s="185"/>
      <c r="H329" s="186">
        <f t="shared" si="5"/>
        <v>248450</v>
      </c>
      <c r="I329" s="184" t="s">
        <v>175</v>
      </c>
      <c r="J329" s="184" t="s">
        <v>2591</v>
      </c>
      <c r="K329" s="188"/>
    </row>
    <row r="330" spans="1:11" ht="15.6">
      <c r="A330" s="468">
        <v>45882</v>
      </c>
      <c r="B330" s="184" t="s">
        <v>2997</v>
      </c>
      <c r="C330" s="184" t="s">
        <v>174</v>
      </c>
      <c r="D330" s="177" t="s">
        <v>121</v>
      </c>
      <c r="E330" s="184"/>
      <c r="F330" s="184">
        <v>2000</v>
      </c>
      <c r="G330" s="185"/>
      <c r="H330" s="186">
        <f t="shared" si="5"/>
        <v>246450</v>
      </c>
      <c r="I330" s="184" t="s">
        <v>175</v>
      </c>
      <c r="J330" s="184" t="s">
        <v>2588</v>
      </c>
      <c r="K330" s="188"/>
    </row>
    <row r="331" spans="1:11" ht="15.6">
      <c r="A331" s="468">
        <v>45883</v>
      </c>
      <c r="B331" s="184" t="s">
        <v>2993</v>
      </c>
      <c r="C331" s="184" t="s">
        <v>174</v>
      </c>
      <c r="D331" s="177" t="s">
        <v>121</v>
      </c>
      <c r="E331" s="184"/>
      <c r="F331" s="184">
        <v>37000</v>
      </c>
      <c r="G331" s="185"/>
      <c r="H331" s="186">
        <f t="shared" si="5"/>
        <v>209450</v>
      </c>
      <c r="I331" s="184" t="s">
        <v>175</v>
      </c>
      <c r="J331" s="184" t="s">
        <v>2592</v>
      </c>
      <c r="K331" s="188"/>
    </row>
    <row r="332" spans="1:11" ht="15.6">
      <c r="A332" s="468">
        <v>45883</v>
      </c>
      <c r="B332" s="184" t="s">
        <v>2991</v>
      </c>
      <c r="C332" s="184" t="s">
        <v>2456</v>
      </c>
      <c r="D332" s="177" t="s">
        <v>121</v>
      </c>
      <c r="E332" s="184"/>
      <c r="F332" s="184">
        <v>180000</v>
      </c>
      <c r="G332" s="185"/>
      <c r="H332" s="186">
        <f t="shared" si="5"/>
        <v>29450</v>
      </c>
      <c r="I332" s="184" t="s">
        <v>175</v>
      </c>
      <c r="J332" s="184" t="s">
        <v>2593</v>
      </c>
      <c r="K332" s="188"/>
    </row>
    <row r="333" spans="1:11" ht="15.6">
      <c r="A333" s="468">
        <v>45883</v>
      </c>
      <c r="B333" s="184" t="s">
        <v>3080</v>
      </c>
      <c r="C333" s="184" t="s">
        <v>1006</v>
      </c>
      <c r="D333" s="177" t="s">
        <v>121</v>
      </c>
      <c r="E333" s="184"/>
      <c r="F333" s="184">
        <v>2000</v>
      </c>
      <c r="G333" s="185"/>
      <c r="H333" s="186">
        <f t="shared" si="5"/>
        <v>27450</v>
      </c>
      <c r="I333" s="184" t="s">
        <v>175</v>
      </c>
      <c r="J333" s="184" t="s">
        <v>2588</v>
      </c>
      <c r="K333" s="188"/>
    </row>
    <row r="334" spans="1:11" ht="15.6">
      <c r="A334" s="468">
        <v>45883</v>
      </c>
      <c r="B334" s="184" t="s">
        <v>3073</v>
      </c>
      <c r="C334" s="184" t="s">
        <v>1006</v>
      </c>
      <c r="D334" s="177" t="s">
        <v>121</v>
      </c>
      <c r="E334" s="184"/>
      <c r="F334" s="184">
        <v>500</v>
      </c>
      <c r="G334" s="185"/>
      <c r="H334" s="186">
        <f t="shared" si="5"/>
        <v>26950</v>
      </c>
      <c r="I334" s="184" t="s">
        <v>175</v>
      </c>
      <c r="J334" s="184" t="s">
        <v>2588</v>
      </c>
      <c r="K334" s="188"/>
    </row>
    <row r="335" spans="1:11" ht="15.6">
      <c r="A335" s="468">
        <v>45884</v>
      </c>
      <c r="B335" s="184" t="s">
        <v>2992</v>
      </c>
      <c r="C335" s="184" t="s">
        <v>2456</v>
      </c>
      <c r="D335" s="177" t="s">
        <v>121</v>
      </c>
      <c r="E335" s="184"/>
      <c r="F335" s="184">
        <v>15000</v>
      </c>
      <c r="G335" s="185"/>
      <c r="H335" s="186">
        <f t="shared" si="5"/>
        <v>11950</v>
      </c>
      <c r="I335" s="184" t="s">
        <v>175</v>
      </c>
      <c r="J335" s="184" t="s">
        <v>2594</v>
      </c>
      <c r="K335" s="188"/>
    </row>
    <row r="336" spans="1:11" ht="15.6">
      <c r="A336" s="468">
        <v>45884</v>
      </c>
      <c r="B336" s="184" t="s">
        <v>3045</v>
      </c>
      <c r="C336" s="184" t="s">
        <v>174</v>
      </c>
      <c r="D336" s="177" t="s">
        <v>121</v>
      </c>
      <c r="E336" s="184"/>
      <c r="F336" s="184">
        <v>500</v>
      </c>
      <c r="G336" s="185"/>
      <c r="H336" s="186">
        <f t="shared" si="5"/>
        <v>11450</v>
      </c>
      <c r="I336" s="184" t="s">
        <v>175</v>
      </c>
      <c r="J336" s="184" t="s">
        <v>2588</v>
      </c>
      <c r="K336" s="188"/>
    </row>
    <row r="337" spans="1:11" ht="15.6">
      <c r="A337" s="468">
        <v>45884</v>
      </c>
      <c r="B337" s="184" t="s">
        <v>3081</v>
      </c>
      <c r="C337" s="184" t="s">
        <v>174</v>
      </c>
      <c r="D337" s="177" t="s">
        <v>121</v>
      </c>
      <c r="E337" s="184"/>
      <c r="F337" s="184">
        <v>500</v>
      </c>
      <c r="G337" s="185"/>
      <c r="H337" s="186">
        <f t="shared" si="5"/>
        <v>10950</v>
      </c>
      <c r="I337" s="184" t="s">
        <v>175</v>
      </c>
      <c r="J337" s="184" t="s">
        <v>2588</v>
      </c>
      <c r="K337" s="188"/>
    </row>
    <row r="338" spans="1:11" ht="15.6">
      <c r="A338" s="468">
        <v>45884</v>
      </c>
      <c r="B338" s="177" t="s">
        <v>2585</v>
      </c>
      <c r="C338" s="177" t="s">
        <v>152</v>
      </c>
      <c r="D338" s="177" t="s">
        <v>121</v>
      </c>
      <c r="E338" s="184">
        <v>5000</v>
      </c>
      <c r="F338" s="184"/>
      <c r="G338" s="185"/>
      <c r="H338" s="186">
        <f t="shared" si="5"/>
        <v>15950</v>
      </c>
      <c r="I338" s="184" t="s">
        <v>175</v>
      </c>
      <c r="J338" s="184" t="s">
        <v>2595</v>
      </c>
      <c r="K338" s="188"/>
    </row>
    <row r="339" spans="1:11" ht="15.6">
      <c r="A339" s="468">
        <v>45884</v>
      </c>
      <c r="B339" s="177" t="s">
        <v>2585</v>
      </c>
      <c r="C339" s="177" t="s">
        <v>152</v>
      </c>
      <c r="D339" s="177" t="s">
        <v>121</v>
      </c>
      <c r="E339" s="184"/>
      <c r="F339" s="184">
        <v>5000</v>
      </c>
      <c r="G339" s="185"/>
      <c r="H339" s="186">
        <f t="shared" si="5"/>
        <v>10950</v>
      </c>
      <c r="I339" s="184" t="s">
        <v>175</v>
      </c>
      <c r="J339" s="184" t="s">
        <v>2595</v>
      </c>
      <c r="K339" s="188"/>
    </row>
    <row r="340" spans="1:11" ht="15.6">
      <c r="A340" s="468">
        <v>45885</v>
      </c>
      <c r="B340" s="184" t="s">
        <v>3082</v>
      </c>
      <c r="C340" s="184" t="s">
        <v>2456</v>
      </c>
      <c r="D340" s="177" t="s">
        <v>121</v>
      </c>
      <c r="E340" s="184"/>
      <c r="F340" s="184">
        <v>15000</v>
      </c>
      <c r="G340" s="185"/>
      <c r="H340" s="186">
        <f t="shared" si="5"/>
        <v>-4050</v>
      </c>
      <c r="I340" s="184" t="s">
        <v>175</v>
      </c>
      <c r="J340" s="184" t="s">
        <v>2596</v>
      </c>
      <c r="K340" s="188"/>
    </row>
    <row r="341" spans="1:11" ht="15.6">
      <c r="A341" s="468">
        <v>45885</v>
      </c>
      <c r="B341" s="184" t="s">
        <v>3005</v>
      </c>
      <c r="C341" s="184" t="s">
        <v>174</v>
      </c>
      <c r="D341" s="177" t="s">
        <v>121</v>
      </c>
      <c r="E341" s="184"/>
      <c r="F341" s="184">
        <v>500</v>
      </c>
      <c r="G341" s="185"/>
      <c r="H341" s="186">
        <f t="shared" si="5"/>
        <v>-4550</v>
      </c>
      <c r="I341" s="184" t="s">
        <v>175</v>
      </c>
      <c r="J341" s="184" t="s">
        <v>2588</v>
      </c>
      <c r="K341" s="188"/>
    </row>
    <row r="342" spans="1:11" ht="15.6">
      <c r="A342" s="468">
        <v>45885</v>
      </c>
      <c r="B342" s="184" t="s">
        <v>3005</v>
      </c>
      <c r="C342" s="184" t="s">
        <v>174</v>
      </c>
      <c r="D342" s="177" t="s">
        <v>121</v>
      </c>
      <c r="E342" s="184"/>
      <c r="F342" s="184">
        <v>500</v>
      </c>
      <c r="G342" s="185"/>
      <c r="H342" s="186">
        <f t="shared" si="5"/>
        <v>-5050</v>
      </c>
      <c r="I342" s="184" t="s">
        <v>175</v>
      </c>
      <c r="J342" s="184" t="s">
        <v>2588</v>
      </c>
      <c r="K342" s="188"/>
    </row>
    <row r="343" spans="1:11" ht="15.6">
      <c r="A343" s="468">
        <v>45887</v>
      </c>
      <c r="B343" s="184" t="s">
        <v>3083</v>
      </c>
      <c r="C343" s="184" t="s">
        <v>174</v>
      </c>
      <c r="D343" s="177" t="s">
        <v>121</v>
      </c>
      <c r="E343" s="184"/>
      <c r="F343" s="184">
        <v>500</v>
      </c>
      <c r="G343" s="185"/>
      <c r="H343" s="186">
        <f t="shared" si="5"/>
        <v>-5550</v>
      </c>
      <c r="I343" s="184" t="s">
        <v>175</v>
      </c>
      <c r="J343" s="184" t="s">
        <v>2588</v>
      </c>
      <c r="K343" s="188"/>
    </row>
    <row r="344" spans="1:11" ht="15.6">
      <c r="A344" s="468">
        <v>45887</v>
      </c>
      <c r="B344" s="184" t="s">
        <v>3084</v>
      </c>
      <c r="C344" s="184" t="s">
        <v>174</v>
      </c>
      <c r="D344" s="177" t="s">
        <v>121</v>
      </c>
      <c r="E344" s="184"/>
      <c r="F344" s="184">
        <v>500</v>
      </c>
      <c r="G344" s="185"/>
      <c r="H344" s="186">
        <f t="shared" si="5"/>
        <v>-6050</v>
      </c>
      <c r="I344" s="184" t="s">
        <v>175</v>
      </c>
      <c r="J344" s="184" t="s">
        <v>2588</v>
      </c>
      <c r="K344" s="188"/>
    </row>
    <row r="345" spans="1:11" ht="15.6">
      <c r="A345" s="468">
        <v>45887</v>
      </c>
      <c r="B345" s="184" t="s">
        <v>3005</v>
      </c>
      <c r="C345" s="184" t="s">
        <v>174</v>
      </c>
      <c r="D345" s="177" t="s">
        <v>121</v>
      </c>
      <c r="E345" s="184"/>
      <c r="F345" s="184">
        <v>500</v>
      </c>
      <c r="G345" s="185"/>
      <c r="H345" s="186">
        <f t="shared" si="5"/>
        <v>-6550</v>
      </c>
      <c r="I345" s="184" t="s">
        <v>175</v>
      </c>
      <c r="J345" s="184" t="s">
        <v>2588</v>
      </c>
      <c r="K345" s="188"/>
    </row>
    <row r="346" spans="1:11" ht="15.6">
      <c r="A346" s="468">
        <v>45887</v>
      </c>
      <c r="B346" s="184" t="s">
        <v>3005</v>
      </c>
      <c r="C346" s="184" t="s">
        <v>174</v>
      </c>
      <c r="D346" s="177" t="s">
        <v>121</v>
      </c>
      <c r="E346" s="184"/>
      <c r="F346" s="184">
        <v>500</v>
      </c>
      <c r="G346" s="185"/>
      <c r="H346" s="186">
        <f t="shared" si="5"/>
        <v>-7050</v>
      </c>
      <c r="I346" s="184" t="s">
        <v>175</v>
      </c>
      <c r="J346" s="184" t="s">
        <v>2588</v>
      </c>
      <c r="K346" s="188"/>
    </row>
    <row r="347" spans="1:11" ht="15.6">
      <c r="A347" s="468">
        <v>45887</v>
      </c>
      <c r="B347" s="184" t="s">
        <v>2580</v>
      </c>
      <c r="C347" s="184" t="s">
        <v>986</v>
      </c>
      <c r="D347" s="177" t="s">
        <v>121</v>
      </c>
      <c r="E347" s="184">
        <v>255000</v>
      </c>
      <c r="F347" s="184"/>
      <c r="G347" s="185"/>
      <c r="H347" s="186">
        <f t="shared" si="5"/>
        <v>247950</v>
      </c>
      <c r="I347" s="184" t="s">
        <v>175</v>
      </c>
      <c r="J347" s="184" t="s">
        <v>2597</v>
      </c>
      <c r="K347" s="188"/>
    </row>
    <row r="348" spans="1:11" ht="15.6">
      <c r="A348" s="468">
        <v>45887</v>
      </c>
      <c r="B348" s="177" t="s">
        <v>2585</v>
      </c>
      <c r="C348" s="177" t="s">
        <v>152</v>
      </c>
      <c r="D348" s="177" t="s">
        <v>121</v>
      </c>
      <c r="E348" s="184">
        <v>15000</v>
      </c>
      <c r="F348" s="184"/>
      <c r="G348" s="185"/>
      <c r="H348" s="186">
        <f t="shared" si="5"/>
        <v>262950</v>
      </c>
      <c r="I348" s="184" t="s">
        <v>175</v>
      </c>
      <c r="J348" s="184" t="s">
        <v>2598</v>
      </c>
      <c r="K348" s="188"/>
    </row>
    <row r="349" spans="1:11" ht="15.6">
      <c r="A349" s="468">
        <v>45887</v>
      </c>
      <c r="B349" s="177" t="s">
        <v>2585</v>
      </c>
      <c r="C349" s="177" t="s">
        <v>152</v>
      </c>
      <c r="D349" s="177" t="s">
        <v>121</v>
      </c>
      <c r="E349" s="184"/>
      <c r="F349" s="184">
        <v>15000</v>
      </c>
      <c r="G349" s="185"/>
      <c r="H349" s="186">
        <f t="shared" si="5"/>
        <v>247950</v>
      </c>
      <c r="I349" s="184" t="s">
        <v>175</v>
      </c>
      <c r="J349" s="184" t="s">
        <v>2598</v>
      </c>
      <c r="K349" s="188"/>
    </row>
    <row r="350" spans="1:11" ht="15.6">
      <c r="A350" s="468">
        <v>45888</v>
      </c>
      <c r="B350" s="184" t="s">
        <v>3042</v>
      </c>
      <c r="C350" s="184" t="s">
        <v>174</v>
      </c>
      <c r="D350" s="177" t="s">
        <v>121</v>
      </c>
      <c r="E350" s="184"/>
      <c r="F350" s="184">
        <v>500</v>
      </c>
      <c r="G350" s="185"/>
      <c r="H350" s="186">
        <f t="shared" si="5"/>
        <v>247450</v>
      </c>
      <c r="I350" s="184" t="s">
        <v>175</v>
      </c>
      <c r="J350" s="184" t="s">
        <v>2588</v>
      </c>
      <c r="K350" s="188"/>
    </row>
    <row r="351" spans="1:11" ht="15.6">
      <c r="A351" s="468">
        <v>45888</v>
      </c>
      <c r="B351" s="184" t="s">
        <v>2993</v>
      </c>
      <c r="C351" s="184" t="s">
        <v>174</v>
      </c>
      <c r="D351" s="177" t="s">
        <v>121</v>
      </c>
      <c r="E351" s="184"/>
      <c r="F351" s="184">
        <v>10000</v>
      </c>
      <c r="G351" s="185"/>
      <c r="H351" s="186">
        <f t="shared" si="5"/>
        <v>237450</v>
      </c>
      <c r="I351" s="184" t="s">
        <v>175</v>
      </c>
      <c r="J351" s="184" t="s">
        <v>2599</v>
      </c>
      <c r="K351" s="188"/>
    </row>
    <row r="352" spans="1:11" ht="15.6">
      <c r="A352" s="468">
        <v>45888</v>
      </c>
      <c r="B352" s="184" t="s">
        <v>3083</v>
      </c>
      <c r="C352" s="184" t="s">
        <v>174</v>
      </c>
      <c r="D352" s="177" t="s">
        <v>121</v>
      </c>
      <c r="E352" s="184"/>
      <c r="F352" s="184">
        <v>500</v>
      </c>
      <c r="G352" s="185"/>
      <c r="H352" s="186">
        <f t="shared" si="5"/>
        <v>236950</v>
      </c>
      <c r="I352" s="184" t="s">
        <v>175</v>
      </c>
      <c r="J352" s="184" t="s">
        <v>2588</v>
      </c>
      <c r="K352" s="188"/>
    </row>
    <row r="353" spans="1:11" ht="15.6">
      <c r="A353" s="468">
        <v>45888</v>
      </c>
      <c r="B353" s="184" t="s">
        <v>3005</v>
      </c>
      <c r="C353" s="184" t="s">
        <v>174</v>
      </c>
      <c r="D353" s="177" t="s">
        <v>121</v>
      </c>
      <c r="E353" s="184"/>
      <c r="F353" s="184">
        <v>500</v>
      </c>
      <c r="G353" s="185"/>
      <c r="H353" s="186">
        <f t="shared" si="5"/>
        <v>236450</v>
      </c>
      <c r="I353" s="184" t="s">
        <v>175</v>
      </c>
      <c r="J353" s="184" t="s">
        <v>2588</v>
      </c>
      <c r="K353" s="188"/>
    </row>
    <row r="354" spans="1:11" ht="15.6">
      <c r="A354" s="468">
        <v>45888</v>
      </c>
      <c r="B354" s="184" t="s">
        <v>3005</v>
      </c>
      <c r="C354" s="184" t="s">
        <v>174</v>
      </c>
      <c r="D354" s="177" t="s">
        <v>121</v>
      </c>
      <c r="E354" s="184"/>
      <c r="F354" s="184">
        <v>500</v>
      </c>
      <c r="G354" s="185"/>
      <c r="H354" s="186">
        <f t="shared" si="5"/>
        <v>235950</v>
      </c>
      <c r="I354" s="184" t="s">
        <v>175</v>
      </c>
      <c r="J354" s="184" t="s">
        <v>2588</v>
      </c>
      <c r="K354" s="188"/>
    </row>
    <row r="355" spans="1:11" ht="15.6">
      <c r="A355" s="468">
        <v>45888</v>
      </c>
      <c r="B355" s="184" t="s">
        <v>2993</v>
      </c>
      <c r="C355" s="184" t="s">
        <v>174</v>
      </c>
      <c r="D355" s="177" t="s">
        <v>121</v>
      </c>
      <c r="E355" s="184"/>
      <c r="F355" s="184">
        <v>10000</v>
      </c>
      <c r="G355" s="185"/>
      <c r="H355" s="186">
        <f t="shared" si="5"/>
        <v>225950</v>
      </c>
      <c r="I355" s="184" t="s">
        <v>175</v>
      </c>
      <c r="J355" s="184" t="s">
        <v>2600</v>
      </c>
      <c r="K355" s="188"/>
    </row>
    <row r="356" spans="1:11" ht="15.6">
      <c r="A356" s="468">
        <v>45888</v>
      </c>
      <c r="B356" s="184" t="s">
        <v>3042</v>
      </c>
      <c r="C356" s="184" t="s">
        <v>174</v>
      </c>
      <c r="D356" s="177" t="s">
        <v>121</v>
      </c>
      <c r="E356" s="184"/>
      <c r="F356" s="184">
        <v>500</v>
      </c>
      <c r="G356" s="185"/>
      <c r="H356" s="186">
        <f t="shared" si="5"/>
        <v>225450</v>
      </c>
      <c r="I356" s="184" t="s">
        <v>175</v>
      </c>
      <c r="J356" s="184" t="s">
        <v>2588</v>
      </c>
      <c r="K356" s="188"/>
    </row>
    <row r="357" spans="1:11" ht="15.6">
      <c r="A357" s="468">
        <v>45889</v>
      </c>
      <c r="B357" s="184" t="s">
        <v>3042</v>
      </c>
      <c r="C357" s="184" t="s">
        <v>174</v>
      </c>
      <c r="D357" s="177" t="s">
        <v>121</v>
      </c>
      <c r="E357" s="184"/>
      <c r="F357" s="184">
        <v>500</v>
      </c>
      <c r="G357" s="185"/>
      <c r="H357" s="186">
        <f t="shared" si="5"/>
        <v>224950</v>
      </c>
      <c r="I357" s="184" t="s">
        <v>175</v>
      </c>
      <c r="J357" s="184" t="s">
        <v>2588</v>
      </c>
      <c r="K357" s="188"/>
    </row>
    <row r="358" spans="1:11" ht="15.6">
      <c r="A358" s="468">
        <v>45889</v>
      </c>
      <c r="B358" s="184" t="s">
        <v>3037</v>
      </c>
      <c r="C358" s="184" t="s">
        <v>174</v>
      </c>
      <c r="D358" s="177" t="s">
        <v>121</v>
      </c>
      <c r="E358" s="184"/>
      <c r="F358" s="184">
        <v>500</v>
      </c>
      <c r="G358" s="185"/>
      <c r="H358" s="186">
        <f t="shared" si="5"/>
        <v>224450</v>
      </c>
      <c r="I358" s="184" t="s">
        <v>175</v>
      </c>
      <c r="J358" s="184" t="s">
        <v>2588</v>
      </c>
      <c r="K358" s="188"/>
    </row>
    <row r="359" spans="1:11" ht="15.6">
      <c r="A359" s="468">
        <v>45890</v>
      </c>
      <c r="B359" s="184" t="s">
        <v>3042</v>
      </c>
      <c r="C359" s="184" t="s">
        <v>174</v>
      </c>
      <c r="D359" s="177" t="s">
        <v>121</v>
      </c>
      <c r="E359" s="184"/>
      <c r="F359" s="184">
        <v>500</v>
      </c>
      <c r="G359" s="185"/>
      <c r="H359" s="186">
        <f t="shared" si="5"/>
        <v>223950</v>
      </c>
      <c r="I359" s="184" t="s">
        <v>175</v>
      </c>
      <c r="J359" s="184" t="s">
        <v>2588</v>
      </c>
      <c r="K359" s="188"/>
    </row>
    <row r="360" spans="1:11" ht="15.6">
      <c r="A360" s="468">
        <v>45890</v>
      </c>
      <c r="B360" s="184" t="s">
        <v>3042</v>
      </c>
      <c r="C360" s="184" t="s">
        <v>174</v>
      </c>
      <c r="D360" s="177" t="s">
        <v>121</v>
      </c>
      <c r="E360" s="184"/>
      <c r="F360" s="184">
        <v>500</v>
      </c>
      <c r="G360" s="185"/>
      <c r="H360" s="186">
        <f t="shared" si="5"/>
        <v>223450</v>
      </c>
      <c r="I360" s="184" t="s">
        <v>175</v>
      </c>
      <c r="J360" s="184" t="s">
        <v>2588</v>
      </c>
      <c r="K360" s="188"/>
    </row>
    <row r="361" spans="1:11" ht="15.6">
      <c r="A361" s="468">
        <v>45891</v>
      </c>
      <c r="B361" s="184" t="s">
        <v>3042</v>
      </c>
      <c r="C361" s="184" t="s">
        <v>174</v>
      </c>
      <c r="D361" s="177" t="s">
        <v>121</v>
      </c>
      <c r="E361" s="184"/>
      <c r="F361" s="184">
        <v>500</v>
      </c>
      <c r="G361" s="185"/>
      <c r="H361" s="186">
        <f t="shared" si="5"/>
        <v>222950</v>
      </c>
      <c r="I361" s="184" t="s">
        <v>175</v>
      </c>
      <c r="J361" s="184" t="s">
        <v>2588</v>
      </c>
      <c r="K361" s="188"/>
    </row>
    <row r="362" spans="1:11" ht="15.6">
      <c r="A362" s="468">
        <v>45891</v>
      </c>
      <c r="B362" s="184" t="s">
        <v>3042</v>
      </c>
      <c r="C362" s="184" t="s">
        <v>174</v>
      </c>
      <c r="D362" s="177" t="s">
        <v>121</v>
      </c>
      <c r="E362" s="184"/>
      <c r="F362" s="184">
        <v>500</v>
      </c>
      <c r="G362" s="185"/>
      <c r="H362" s="186">
        <f t="shared" si="5"/>
        <v>222450</v>
      </c>
      <c r="I362" s="184" t="s">
        <v>175</v>
      </c>
      <c r="J362" s="184" t="s">
        <v>2588</v>
      </c>
      <c r="K362" s="188"/>
    </row>
    <row r="363" spans="1:11" ht="15.6">
      <c r="A363" s="468">
        <v>45892</v>
      </c>
      <c r="B363" s="184" t="s">
        <v>3042</v>
      </c>
      <c r="C363" s="184" t="s">
        <v>174</v>
      </c>
      <c r="D363" s="177" t="s">
        <v>121</v>
      </c>
      <c r="E363" s="184"/>
      <c r="F363" s="184">
        <v>500</v>
      </c>
      <c r="G363" s="185"/>
      <c r="H363" s="186">
        <f t="shared" si="5"/>
        <v>221950</v>
      </c>
      <c r="I363" s="184" t="s">
        <v>175</v>
      </c>
      <c r="J363" s="184" t="s">
        <v>2588</v>
      </c>
      <c r="K363" s="188"/>
    </row>
    <row r="364" spans="1:11" ht="15.6">
      <c r="A364" s="468">
        <v>45892</v>
      </c>
      <c r="B364" s="184" t="s">
        <v>3042</v>
      </c>
      <c r="C364" s="184" t="s">
        <v>174</v>
      </c>
      <c r="D364" s="177" t="s">
        <v>121</v>
      </c>
      <c r="E364" s="184"/>
      <c r="F364" s="184">
        <v>500</v>
      </c>
      <c r="G364" s="185"/>
      <c r="H364" s="186">
        <f t="shared" si="5"/>
        <v>221450</v>
      </c>
      <c r="I364" s="184" t="s">
        <v>175</v>
      </c>
      <c r="J364" s="184" t="s">
        <v>2588</v>
      </c>
      <c r="K364" s="188"/>
    </row>
    <row r="365" spans="1:11" ht="15.6">
      <c r="A365" s="468">
        <v>45892</v>
      </c>
      <c r="B365" s="184" t="s">
        <v>3037</v>
      </c>
      <c r="C365" s="184" t="s">
        <v>174</v>
      </c>
      <c r="D365" s="177" t="s">
        <v>121</v>
      </c>
      <c r="E365" s="184"/>
      <c r="F365" s="184">
        <v>500</v>
      </c>
      <c r="G365" s="185"/>
      <c r="H365" s="186">
        <f t="shared" si="5"/>
        <v>220950</v>
      </c>
      <c r="I365" s="184" t="s">
        <v>175</v>
      </c>
      <c r="J365" s="184" t="s">
        <v>2588</v>
      </c>
      <c r="K365" s="188"/>
    </row>
    <row r="366" spans="1:11" ht="15.6">
      <c r="A366" s="468">
        <v>45892</v>
      </c>
      <c r="B366" s="184" t="s">
        <v>3042</v>
      </c>
      <c r="C366" s="184" t="s">
        <v>174</v>
      </c>
      <c r="D366" s="177" t="s">
        <v>121</v>
      </c>
      <c r="E366" s="184"/>
      <c r="F366" s="184">
        <v>500</v>
      </c>
      <c r="G366" s="185"/>
      <c r="H366" s="186">
        <f t="shared" si="5"/>
        <v>220450</v>
      </c>
      <c r="I366" s="184" t="s">
        <v>175</v>
      </c>
      <c r="J366" s="184" t="s">
        <v>2588</v>
      </c>
      <c r="K366" s="188"/>
    </row>
    <row r="367" spans="1:11" ht="15.6">
      <c r="A367" s="468">
        <v>45892</v>
      </c>
      <c r="B367" s="184" t="s">
        <v>3042</v>
      </c>
      <c r="C367" s="184" t="s">
        <v>174</v>
      </c>
      <c r="D367" s="177" t="s">
        <v>121</v>
      </c>
      <c r="E367" s="184"/>
      <c r="F367" s="184">
        <v>500</v>
      </c>
      <c r="G367" s="185"/>
      <c r="H367" s="186">
        <f t="shared" si="5"/>
        <v>219950</v>
      </c>
      <c r="I367" s="184" t="s">
        <v>175</v>
      </c>
      <c r="J367" s="184" t="s">
        <v>2588</v>
      </c>
      <c r="K367" s="188"/>
    </row>
    <row r="368" spans="1:11" ht="15.6">
      <c r="A368" s="468">
        <v>45893</v>
      </c>
      <c r="B368" s="184" t="s">
        <v>3042</v>
      </c>
      <c r="C368" s="184" t="s">
        <v>174</v>
      </c>
      <c r="D368" s="177" t="s">
        <v>121</v>
      </c>
      <c r="E368" s="184"/>
      <c r="F368" s="184">
        <v>500</v>
      </c>
      <c r="G368" s="185"/>
      <c r="H368" s="186">
        <f t="shared" si="5"/>
        <v>219450</v>
      </c>
      <c r="I368" s="184" t="s">
        <v>175</v>
      </c>
      <c r="J368" s="184" t="s">
        <v>2588</v>
      </c>
      <c r="K368" s="188"/>
    </row>
    <row r="369" spans="1:11" ht="15.6">
      <c r="A369" s="468">
        <v>45893</v>
      </c>
      <c r="B369" s="184" t="s">
        <v>3037</v>
      </c>
      <c r="C369" s="184" t="s">
        <v>174</v>
      </c>
      <c r="D369" s="177" t="s">
        <v>121</v>
      </c>
      <c r="E369" s="184"/>
      <c r="F369" s="184">
        <v>500</v>
      </c>
      <c r="G369" s="185"/>
      <c r="H369" s="186">
        <f t="shared" si="5"/>
        <v>218950</v>
      </c>
      <c r="I369" s="184" t="s">
        <v>175</v>
      </c>
      <c r="J369" s="184" t="s">
        <v>2588</v>
      </c>
      <c r="K369" s="188"/>
    </row>
    <row r="370" spans="1:11" ht="15.6">
      <c r="A370" s="468">
        <v>45893</v>
      </c>
      <c r="B370" s="184" t="s">
        <v>3037</v>
      </c>
      <c r="C370" s="184" t="s">
        <v>174</v>
      </c>
      <c r="D370" s="177" t="s">
        <v>121</v>
      </c>
      <c r="E370" s="184"/>
      <c r="F370" s="184">
        <v>500</v>
      </c>
      <c r="G370" s="185"/>
      <c r="H370" s="186">
        <f t="shared" si="5"/>
        <v>218450</v>
      </c>
      <c r="I370" s="184" t="s">
        <v>175</v>
      </c>
      <c r="J370" s="184" t="s">
        <v>2588</v>
      </c>
      <c r="K370" s="188"/>
    </row>
    <row r="371" spans="1:11" ht="15.6">
      <c r="A371" s="468">
        <v>45893</v>
      </c>
      <c r="B371" s="184" t="s">
        <v>3037</v>
      </c>
      <c r="C371" s="184" t="s">
        <v>174</v>
      </c>
      <c r="D371" s="177" t="s">
        <v>121</v>
      </c>
      <c r="E371" s="184"/>
      <c r="F371" s="184">
        <v>500</v>
      </c>
      <c r="G371" s="185"/>
      <c r="H371" s="186">
        <f t="shared" si="5"/>
        <v>217950</v>
      </c>
      <c r="I371" s="184" t="s">
        <v>175</v>
      </c>
      <c r="J371" s="184" t="s">
        <v>2588</v>
      </c>
      <c r="K371" s="188"/>
    </row>
    <row r="372" spans="1:11" ht="15.6">
      <c r="A372" s="468">
        <v>45893</v>
      </c>
      <c r="B372" s="184" t="s">
        <v>3037</v>
      </c>
      <c r="C372" s="184" t="s">
        <v>174</v>
      </c>
      <c r="D372" s="177" t="s">
        <v>121</v>
      </c>
      <c r="E372" s="184"/>
      <c r="F372" s="184">
        <v>500</v>
      </c>
      <c r="G372" s="185"/>
      <c r="H372" s="186">
        <f t="shared" si="5"/>
        <v>217450</v>
      </c>
      <c r="I372" s="184" t="s">
        <v>175</v>
      </c>
      <c r="J372" s="184" t="s">
        <v>2588</v>
      </c>
      <c r="K372" s="188"/>
    </row>
    <row r="373" spans="1:11" ht="15.6">
      <c r="A373" s="468">
        <v>45893</v>
      </c>
      <c r="B373" s="184" t="s">
        <v>3042</v>
      </c>
      <c r="C373" s="184" t="s">
        <v>174</v>
      </c>
      <c r="D373" s="177" t="s">
        <v>121</v>
      </c>
      <c r="E373" s="184"/>
      <c r="F373" s="184">
        <v>500</v>
      </c>
      <c r="G373" s="185"/>
      <c r="H373" s="186">
        <f t="shared" si="5"/>
        <v>216950</v>
      </c>
      <c r="I373" s="184" t="s">
        <v>175</v>
      </c>
      <c r="J373" s="184" t="s">
        <v>2588</v>
      </c>
      <c r="K373" s="188"/>
    </row>
    <row r="374" spans="1:11" ht="15.6">
      <c r="A374" s="468">
        <v>45892</v>
      </c>
      <c r="B374" s="184" t="s">
        <v>2992</v>
      </c>
      <c r="C374" s="184" t="s">
        <v>2456</v>
      </c>
      <c r="D374" s="177" t="s">
        <v>121</v>
      </c>
      <c r="E374" s="184"/>
      <c r="F374" s="184">
        <v>105000</v>
      </c>
      <c r="G374" s="185"/>
      <c r="H374" s="186">
        <f t="shared" si="5"/>
        <v>111950</v>
      </c>
      <c r="I374" s="184" t="s">
        <v>175</v>
      </c>
      <c r="J374" s="184" t="s">
        <v>2601</v>
      </c>
      <c r="K374" s="188"/>
    </row>
    <row r="375" spans="1:11" ht="15.6">
      <c r="A375" s="468">
        <v>45895</v>
      </c>
      <c r="B375" s="184" t="s">
        <v>2580</v>
      </c>
      <c r="C375" s="184" t="s">
        <v>986</v>
      </c>
      <c r="D375" s="177" t="s">
        <v>121</v>
      </c>
      <c r="E375" s="184">
        <v>168000</v>
      </c>
      <c r="F375" s="184"/>
      <c r="G375" s="185"/>
      <c r="H375" s="186">
        <f t="shared" si="5"/>
        <v>279950</v>
      </c>
      <c r="I375" s="184" t="s">
        <v>175</v>
      </c>
      <c r="J375" s="184" t="s">
        <v>2602</v>
      </c>
      <c r="K375" s="188"/>
    </row>
    <row r="376" spans="1:11" ht="15.6">
      <c r="A376" s="468">
        <v>45895</v>
      </c>
      <c r="B376" s="184" t="s">
        <v>3083</v>
      </c>
      <c r="C376" s="184" t="s">
        <v>174</v>
      </c>
      <c r="D376" s="177" t="s">
        <v>121</v>
      </c>
      <c r="E376" s="184"/>
      <c r="F376" s="184">
        <v>500</v>
      </c>
      <c r="G376" s="185"/>
      <c r="H376" s="186">
        <f t="shared" si="5"/>
        <v>279450</v>
      </c>
      <c r="I376" s="184" t="s">
        <v>175</v>
      </c>
      <c r="J376" s="184" t="s">
        <v>2588</v>
      </c>
      <c r="K376" s="188"/>
    </row>
    <row r="377" spans="1:11" ht="15.6">
      <c r="A377" s="468">
        <v>45895</v>
      </c>
      <c r="B377" s="184" t="s">
        <v>3083</v>
      </c>
      <c r="C377" s="184" t="s">
        <v>174</v>
      </c>
      <c r="D377" s="177" t="s">
        <v>121</v>
      </c>
      <c r="E377" s="184"/>
      <c r="F377" s="184">
        <v>500</v>
      </c>
      <c r="G377" s="185"/>
      <c r="H377" s="186">
        <f t="shared" si="5"/>
        <v>278950</v>
      </c>
      <c r="I377" s="184" t="s">
        <v>175</v>
      </c>
      <c r="J377" s="184" t="s">
        <v>2588</v>
      </c>
      <c r="K377" s="188"/>
    </row>
    <row r="378" spans="1:11" ht="15.6">
      <c r="A378" s="468">
        <v>45900</v>
      </c>
      <c r="B378" s="184" t="s">
        <v>2990</v>
      </c>
      <c r="C378" s="184" t="s">
        <v>174</v>
      </c>
      <c r="D378" s="177" t="s">
        <v>121</v>
      </c>
      <c r="E378" s="184"/>
      <c r="F378" s="184">
        <v>35000</v>
      </c>
      <c r="G378" s="185"/>
      <c r="H378" s="186">
        <f t="shared" si="5"/>
        <v>243950</v>
      </c>
      <c r="I378" s="184" t="s">
        <v>175</v>
      </c>
      <c r="J378" s="184" t="s">
        <v>2603</v>
      </c>
      <c r="K378" s="188"/>
    </row>
    <row r="379" spans="1:11" ht="15.6">
      <c r="A379" s="468">
        <v>45900</v>
      </c>
      <c r="B379" s="184" t="s">
        <v>3082</v>
      </c>
      <c r="C379" s="184" t="s">
        <v>2456</v>
      </c>
      <c r="D379" s="177" t="s">
        <v>121</v>
      </c>
      <c r="E379" s="184"/>
      <c r="F379" s="184">
        <v>90000</v>
      </c>
      <c r="G379" s="185"/>
      <c r="H379" s="186">
        <f t="shared" ref="H379" si="6">H378+E379-F379</f>
        <v>153950</v>
      </c>
      <c r="I379" s="184" t="s">
        <v>175</v>
      </c>
      <c r="J379" s="184" t="s">
        <v>2604</v>
      </c>
      <c r="K379" s="188"/>
    </row>
    <row r="380" spans="1:11" ht="15.6">
      <c r="A380" s="180"/>
      <c r="B380" s="188"/>
      <c r="C380" s="188"/>
      <c r="D380" s="188"/>
      <c r="E380" s="201">
        <f>SUM(E314:E379)</f>
        <v>603000</v>
      </c>
      <c r="F380" s="201">
        <f>SUM(F314:F379)</f>
        <v>557000</v>
      </c>
      <c r="G380" s="201"/>
      <c r="H380" s="209">
        <f>+E380-F380+H313</f>
        <v>153950</v>
      </c>
      <c r="I380" s="188"/>
      <c r="J380" s="188"/>
      <c r="K380" s="188"/>
    </row>
    <row r="381" spans="1:11" ht="15.6">
      <c r="A381" s="180"/>
      <c r="B381" s="188"/>
      <c r="C381" s="188"/>
      <c r="D381" s="188"/>
      <c r="E381" s="201"/>
      <c r="F381" s="201"/>
      <c r="G381" s="201"/>
      <c r="H381" s="209"/>
      <c r="I381" s="188"/>
      <c r="J381" s="188"/>
      <c r="K381" s="188"/>
    </row>
    <row r="382" spans="1:11" ht="15.6">
      <c r="A382" s="190"/>
      <c r="B382" s="188"/>
      <c r="C382" s="191" t="s">
        <v>454</v>
      </c>
      <c r="D382" s="188"/>
      <c r="E382" s="192"/>
      <c r="F382" s="192"/>
      <c r="G382" s="192"/>
      <c r="H382" s="193"/>
      <c r="I382" s="188"/>
      <c r="J382" s="188"/>
      <c r="K382" s="188"/>
    </row>
    <row r="383" spans="1:11" ht="15.6">
      <c r="A383" s="190"/>
      <c r="B383" s="188"/>
      <c r="C383" s="188"/>
      <c r="D383" s="188"/>
      <c r="E383" s="192"/>
      <c r="F383" s="192"/>
      <c r="G383" s="192"/>
      <c r="H383" s="193"/>
      <c r="I383" s="188"/>
      <c r="J383" s="188"/>
      <c r="K383" s="188"/>
    </row>
    <row r="384" spans="1:11" ht="15.6">
      <c r="A384" s="194" t="s">
        <v>0</v>
      </c>
      <c r="B384" s="195" t="s">
        <v>445</v>
      </c>
      <c r="C384" s="195" t="s">
        <v>446</v>
      </c>
      <c r="D384" s="195" t="s">
        <v>447</v>
      </c>
      <c r="E384" s="196" t="s">
        <v>448</v>
      </c>
      <c r="F384" s="196" t="s">
        <v>449</v>
      </c>
      <c r="G384" s="196"/>
      <c r="H384" s="197" t="s">
        <v>30</v>
      </c>
      <c r="I384" s="195" t="s">
        <v>450</v>
      </c>
      <c r="J384" s="195" t="s">
        <v>451</v>
      </c>
      <c r="K384" s="188"/>
    </row>
    <row r="385" spans="1:11" ht="15.6">
      <c r="A385" s="148">
        <v>45870</v>
      </c>
      <c r="B385" s="182" t="s">
        <v>2882</v>
      </c>
      <c r="C385" s="182"/>
      <c r="D385" s="182"/>
      <c r="E385" s="185"/>
      <c r="F385" s="185"/>
      <c r="G385" s="185"/>
      <c r="H385" s="185">
        <v>7300</v>
      </c>
      <c r="I385" s="186" t="s">
        <v>317</v>
      </c>
      <c r="J385" s="182"/>
      <c r="K385" s="188"/>
    </row>
    <row r="386" spans="1:11" ht="15.6">
      <c r="A386" s="469">
        <v>45876</v>
      </c>
      <c r="B386" s="470" t="s">
        <v>2613</v>
      </c>
      <c r="C386" s="470" t="s">
        <v>152</v>
      </c>
      <c r="D386" s="470" t="s">
        <v>121</v>
      </c>
      <c r="E386" s="471">
        <v>5000</v>
      </c>
      <c r="F386" s="471"/>
      <c r="G386" s="185"/>
      <c r="H386" s="185">
        <f>H385+E386-F386</f>
        <v>12300</v>
      </c>
      <c r="I386" s="470" t="s">
        <v>317</v>
      </c>
      <c r="J386" s="471" t="s">
        <v>2631</v>
      </c>
      <c r="K386" s="188"/>
    </row>
    <row r="387" spans="1:11" ht="15.6">
      <c r="A387" s="469">
        <v>45876</v>
      </c>
      <c r="B387" s="470" t="s">
        <v>2613</v>
      </c>
      <c r="C387" s="470" t="s">
        <v>152</v>
      </c>
      <c r="D387" s="470" t="s">
        <v>121</v>
      </c>
      <c r="E387" s="471"/>
      <c r="F387" s="470">
        <v>5000</v>
      </c>
      <c r="G387" s="185"/>
      <c r="H387" s="185">
        <f t="shared" ref="H387:H446" si="7">H386+E387-F387</f>
        <v>7300</v>
      </c>
      <c r="I387" s="470" t="s">
        <v>317</v>
      </c>
      <c r="J387" s="471" t="s">
        <v>2631</v>
      </c>
      <c r="K387" s="188"/>
    </row>
    <row r="388" spans="1:11" ht="15.6">
      <c r="A388" s="469">
        <v>45880</v>
      </c>
      <c r="B388" s="470" t="s">
        <v>2614</v>
      </c>
      <c r="C388" s="470" t="s">
        <v>174</v>
      </c>
      <c r="D388" s="470" t="s">
        <v>121</v>
      </c>
      <c r="E388" s="471"/>
      <c r="F388" s="470">
        <v>1000</v>
      </c>
      <c r="G388" s="185"/>
      <c r="H388" s="185">
        <f t="shared" si="7"/>
        <v>6300</v>
      </c>
      <c r="I388" s="470" t="s">
        <v>317</v>
      </c>
      <c r="J388" s="471" t="s">
        <v>2632</v>
      </c>
      <c r="K388" s="188"/>
    </row>
    <row r="389" spans="1:11" ht="15.6">
      <c r="A389" s="469">
        <v>45880</v>
      </c>
      <c r="B389" s="470" t="s">
        <v>2615</v>
      </c>
      <c r="C389" s="470" t="s">
        <v>174</v>
      </c>
      <c r="D389" s="470" t="s">
        <v>121</v>
      </c>
      <c r="E389" s="471"/>
      <c r="F389" s="470">
        <v>2000</v>
      </c>
      <c r="G389" s="185"/>
      <c r="H389" s="185">
        <f t="shared" si="7"/>
        <v>4300</v>
      </c>
      <c r="I389" s="470" t="s">
        <v>317</v>
      </c>
      <c r="J389" s="471" t="s">
        <v>2632</v>
      </c>
      <c r="K389" s="188"/>
    </row>
    <row r="390" spans="1:11" ht="15.6">
      <c r="A390" s="469">
        <v>45880</v>
      </c>
      <c r="B390" s="470" t="s">
        <v>2616</v>
      </c>
      <c r="C390" s="470" t="s">
        <v>174</v>
      </c>
      <c r="D390" s="470" t="s">
        <v>121</v>
      </c>
      <c r="E390" s="471"/>
      <c r="F390" s="470">
        <v>2500</v>
      </c>
      <c r="G390" s="185"/>
      <c r="H390" s="185">
        <f t="shared" si="7"/>
        <v>1800</v>
      </c>
      <c r="I390" s="470" t="s">
        <v>317</v>
      </c>
      <c r="J390" s="471" t="s">
        <v>2632</v>
      </c>
      <c r="K390" s="188"/>
    </row>
    <row r="391" spans="1:11" ht="15.6">
      <c r="A391" s="469">
        <v>45881</v>
      </c>
      <c r="B391" s="470" t="s">
        <v>2617</v>
      </c>
      <c r="C391" s="470" t="s">
        <v>124</v>
      </c>
      <c r="D391" s="470" t="s">
        <v>121</v>
      </c>
      <c r="E391" s="471">
        <v>10000</v>
      </c>
      <c r="F391" s="471"/>
      <c r="G391" s="185"/>
      <c r="H391" s="185">
        <f t="shared" si="7"/>
        <v>11800</v>
      </c>
      <c r="I391" s="470" t="s">
        <v>317</v>
      </c>
      <c r="J391" s="471" t="s">
        <v>2633</v>
      </c>
      <c r="K391" s="188"/>
    </row>
    <row r="392" spans="1:11" ht="15.6">
      <c r="A392" s="469">
        <v>45881</v>
      </c>
      <c r="B392" s="470" t="s">
        <v>2618</v>
      </c>
      <c r="C392" s="470" t="s">
        <v>174</v>
      </c>
      <c r="D392" s="470" t="s">
        <v>121</v>
      </c>
      <c r="E392" s="471"/>
      <c r="F392" s="470">
        <v>1000</v>
      </c>
      <c r="G392" s="185"/>
      <c r="H392" s="185">
        <f t="shared" si="7"/>
        <v>10800</v>
      </c>
      <c r="I392" s="470" t="s">
        <v>317</v>
      </c>
      <c r="J392" s="471" t="s">
        <v>2632</v>
      </c>
      <c r="K392" s="188"/>
    </row>
    <row r="393" spans="1:11" ht="15.6">
      <c r="A393" s="469">
        <v>45881</v>
      </c>
      <c r="B393" s="470" t="s">
        <v>2619</v>
      </c>
      <c r="C393" s="470" t="s">
        <v>174</v>
      </c>
      <c r="D393" s="470" t="s">
        <v>121</v>
      </c>
      <c r="E393" s="471"/>
      <c r="F393" s="470">
        <v>1500</v>
      </c>
      <c r="G393" s="185"/>
      <c r="H393" s="185">
        <f t="shared" si="7"/>
        <v>9300</v>
      </c>
      <c r="I393" s="470" t="s">
        <v>317</v>
      </c>
      <c r="J393" s="471" t="s">
        <v>2632</v>
      </c>
      <c r="K393" s="188"/>
    </row>
    <row r="394" spans="1:11" ht="15.6">
      <c r="A394" s="469">
        <v>45881</v>
      </c>
      <c r="B394" s="470" t="s">
        <v>2620</v>
      </c>
      <c r="C394" s="470" t="s">
        <v>174</v>
      </c>
      <c r="D394" s="470" t="s">
        <v>121</v>
      </c>
      <c r="E394" s="471"/>
      <c r="F394" s="470">
        <v>2500</v>
      </c>
      <c r="G394" s="185"/>
      <c r="H394" s="185">
        <f t="shared" si="7"/>
        <v>6800</v>
      </c>
      <c r="I394" s="470" t="s">
        <v>317</v>
      </c>
      <c r="J394" s="471" t="s">
        <v>2632</v>
      </c>
      <c r="K394" s="188"/>
    </row>
    <row r="395" spans="1:11" ht="15.6">
      <c r="A395" s="469">
        <v>45882</v>
      </c>
      <c r="B395" s="470" t="s">
        <v>2621</v>
      </c>
      <c r="C395" s="470" t="s">
        <v>174</v>
      </c>
      <c r="D395" s="470" t="s">
        <v>121</v>
      </c>
      <c r="E395" s="471"/>
      <c r="F395" s="470">
        <v>2000</v>
      </c>
      <c r="G395" s="185"/>
      <c r="H395" s="185">
        <f t="shared" si="7"/>
        <v>4800</v>
      </c>
      <c r="I395" s="470" t="s">
        <v>317</v>
      </c>
      <c r="J395" s="471" t="s">
        <v>2632</v>
      </c>
      <c r="K395" s="188"/>
    </row>
    <row r="396" spans="1:11" ht="15.6">
      <c r="A396" s="469">
        <v>45882</v>
      </c>
      <c r="B396" s="470" t="s">
        <v>2622</v>
      </c>
      <c r="C396" s="470" t="s">
        <v>174</v>
      </c>
      <c r="D396" s="470" t="s">
        <v>121</v>
      </c>
      <c r="E396" s="471"/>
      <c r="F396" s="470">
        <v>1000</v>
      </c>
      <c r="G396" s="185"/>
      <c r="H396" s="185">
        <f t="shared" si="7"/>
        <v>3800</v>
      </c>
      <c r="I396" s="470" t="s">
        <v>317</v>
      </c>
      <c r="J396" s="471" t="s">
        <v>2632</v>
      </c>
      <c r="K396" s="188"/>
    </row>
    <row r="397" spans="1:11" ht="15.6">
      <c r="A397" s="469">
        <v>45882</v>
      </c>
      <c r="B397" s="470" t="s">
        <v>2623</v>
      </c>
      <c r="C397" s="470" t="s">
        <v>174</v>
      </c>
      <c r="D397" s="470" t="s">
        <v>121</v>
      </c>
      <c r="E397" s="471"/>
      <c r="F397" s="470">
        <v>1000</v>
      </c>
      <c r="G397" s="185"/>
      <c r="H397" s="185">
        <f t="shared" si="7"/>
        <v>2800</v>
      </c>
      <c r="I397" s="470" t="s">
        <v>317</v>
      </c>
      <c r="J397" s="471" t="s">
        <v>2632</v>
      </c>
      <c r="K397" s="188"/>
    </row>
    <row r="398" spans="1:11" ht="15.6">
      <c r="A398" s="469">
        <v>45882</v>
      </c>
      <c r="B398" s="470" t="s">
        <v>2624</v>
      </c>
      <c r="C398" s="470" t="s">
        <v>174</v>
      </c>
      <c r="D398" s="470" t="s">
        <v>121</v>
      </c>
      <c r="E398" s="471"/>
      <c r="F398" s="470">
        <v>2000</v>
      </c>
      <c r="G398" s="185"/>
      <c r="H398" s="185">
        <f t="shared" si="7"/>
        <v>800</v>
      </c>
      <c r="I398" s="470" t="s">
        <v>317</v>
      </c>
      <c r="J398" s="471" t="s">
        <v>2632</v>
      </c>
      <c r="K398" s="188"/>
    </row>
    <row r="399" spans="1:11" ht="15.6">
      <c r="A399" s="469">
        <v>45887</v>
      </c>
      <c r="B399" s="470" t="s">
        <v>2625</v>
      </c>
      <c r="C399" s="470" t="s">
        <v>124</v>
      </c>
      <c r="D399" s="470" t="s">
        <v>121</v>
      </c>
      <c r="E399" s="471">
        <v>100000</v>
      </c>
      <c r="F399" s="471"/>
      <c r="G399" s="185"/>
      <c r="H399" s="185">
        <f t="shared" si="7"/>
        <v>100800</v>
      </c>
      <c r="I399" s="470" t="s">
        <v>317</v>
      </c>
      <c r="J399" s="471" t="s">
        <v>2634</v>
      </c>
      <c r="K399" s="188"/>
    </row>
    <row r="400" spans="1:11" ht="15.6">
      <c r="A400" s="469">
        <v>45887</v>
      </c>
      <c r="B400" s="470" t="s">
        <v>3085</v>
      </c>
      <c r="C400" s="470" t="s">
        <v>174</v>
      </c>
      <c r="D400" s="470" t="s">
        <v>121</v>
      </c>
      <c r="E400" s="471"/>
      <c r="F400" s="470">
        <v>1000</v>
      </c>
      <c r="G400" s="185"/>
      <c r="H400" s="185">
        <f t="shared" si="7"/>
        <v>99800</v>
      </c>
      <c r="I400" s="470" t="s">
        <v>317</v>
      </c>
      <c r="J400" s="471" t="s">
        <v>2632</v>
      </c>
      <c r="K400" s="188"/>
    </row>
    <row r="401" spans="1:11" ht="15.6">
      <c r="A401" s="469">
        <v>45887</v>
      </c>
      <c r="B401" s="470" t="s">
        <v>3086</v>
      </c>
      <c r="C401" s="470" t="s">
        <v>174</v>
      </c>
      <c r="D401" s="470" t="s">
        <v>121</v>
      </c>
      <c r="E401" s="471"/>
      <c r="F401" s="470">
        <v>1000</v>
      </c>
      <c r="G401" s="185"/>
      <c r="H401" s="185">
        <f t="shared" si="7"/>
        <v>98800</v>
      </c>
      <c r="I401" s="470" t="s">
        <v>317</v>
      </c>
      <c r="J401" s="471" t="s">
        <v>2632</v>
      </c>
      <c r="K401" s="188"/>
    </row>
    <row r="402" spans="1:11" ht="15.6">
      <c r="A402" s="469">
        <v>45887</v>
      </c>
      <c r="B402" s="470" t="s">
        <v>3066</v>
      </c>
      <c r="C402" s="470" t="s">
        <v>174</v>
      </c>
      <c r="D402" s="470" t="s">
        <v>121</v>
      </c>
      <c r="E402" s="471"/>
      <c r="F402" s="470">
        <v>5000</v>
      </c>
      <c r="G402" s="185"/>
      <c r="H402" s="185">
        <f t="shared" si="7"/>
        <v>93800</v>
      </c>
      <c r="I402" s="470" t="s">
        <v>317</v>
      </c>
      <c r="J402" s="471" t="s">
        <v>2635</v>
      </c>
      <c r="K402" s="188"/>
    </row>
    <row r="403" spans="1:11" ht="15.6">
      <c r="A403" s="469">
        <v>45887</v>
      </c>
      <c r="B403" s="470" t="s">
        <v>3087</v>
      </c>
      <c r="C403" s="470" t="s">
        <v>174</v>
      </c>
      <c r="D403" s="470" t="s">
        <v>121</v>
      </c>
      <c r="E403" s="471"/>
      <c r="F403" s="470">
        <v>2000</v>
      </c>
      <c r="G403" s="185"/>
      <c r="H403" s="185">
        <f t="shared" si="7"/>
        <v>91800</v>
      </c>
      <c r="I403" s="470" t="s">
        <v>317</v>
      </c>
      <c r="J403" s="471" t="s">
        <v>2632</v>
      </c>
      <c r="K403" s="188"/>
    </row>
    <row r="404" spans="1:11" ht="15.6">
      <c r="A404" s="469">
        <v>45887</v>
      </c>
      <c r="B404" s="470" t="s">
        <v>2626</v>
      </c>
      <c r="C404" s="470" t="s">
        <v>152</v>
      </c>
      <c r="D404" s="470" t="s">
        <v>121</v>
      </c>
      <c r="E404" s="471">
        <v>15000</v>
      </c>
      <c r="F404" s="471"/>
      <c r="G404" s="185"/>
      <c r="H404" s="185">
        <f t="shared" si="7"/>
        <v>106800</v>
      </c>
      <c r="I404" s="470" t="s">
        <v>317</v>
      </c>
      <c r="J404" s="471" t="s">
        <v>2636</v>
      </c>
      <c r="K404" s="188"/>
    </row>
    <row r="405" spans="1:11" ht="15.6">
      <c r="A405" s="469">
        <v>45887</v>
      </c>
      <c r="B405" s="470" t="s">
        <v>2626</v>
      </c>
      <c r="C405" s="470" t="s">
        <v>152</v>
      </c>
      <c r="D405" s="470" t="s">
        <v>121</v>
      </c>
      <c r="E405" s="471"/>
      <c r="F405" s="470">
        <v>15000</v>
      </c>
      <c r="G405" s="185"/>
      <c r="H405" s="185">
        <f t="shared" si="7"/>
        <v>91800</v>
      </c>
      <c r="I405" s="470" t="s">
        <v>317</v>
      </c>
      <c r="J405" s="471" t="s">
        <v>2636</v>
      </c>
      <c r="K405" s="188"/>
    </row>
    <row r="406" spans="1:11" ht="15.6">
      <c r="A406" s="469">
        <v>45888</v>
      </c>
      <c r="B406" s="470" t="s">
        <v>3088</v>
      </c>
      <c r="C406" s="470" t="s">
        <v>177</v>
      </c>
      <c r="D406" s="470" t="s">
        <v>121</v>
      </c>
      <c r="E406" s="471"/>
      <c r="F406" s="470">
        <v>50000</v>
      </c>
      <c r="G406" s="185"/>
      <c r="H406" s="185">
        <f t="shared" si="7"/>
        <v>41800</v>
      </c>
      <c r="I406" s="470" t="s">
        <v>317</v>
      </c>
      <c r="J406" s="471" t="s">
        <v>2637</v>
      </c>
      <c r="K406" s="188"/>
    </row>
    <row r="407" spans="1:11" ht="15.6">
      <c r="A407" s="469">
        <v>45888</v>
      </c>
      <c r="B407" s="470" t="s">
        <v>3089</v>
      </c>
      <c r="C407" s="470" t="s">
        <v>174</v>
      </c>
      <c r="D407" s="470" t="s">
        <v>121</v>
      </c>
      <c r="E407" s="471"/>
      <c r="F407" s="470">
        <v>2000</v>
      </c>
      <c r="G407" s="185"/>
      <c r="H407" s="185">
        <f t="shared" si="7"/>
        <v>39800</v>
      </c>
      <c r="I407" s="470" t="s">
        <v>317</v>
      </c>
      <c r="J407" s="471" t="s">
        <v>2632</v>
      </c>
      <c r="K407" s="188"/>
    </row>
    <row r="408" spans="1:11" ht="15.6">
      <c r="A408" s="469">
        <v>45888</v>
      </c>
      <c r="B408" s="470" t="s">
        <v>3090</v>
      </c>
      <c r="C408" s="470" t="s">
        <v>174</v>
      </c>
      <c r="D408" s="470" t="s">
        <v>121</v>
      </c>
      <c r="E408" s="471"/>
      <c r="F408" s="470">
        <v>500</v>
      </c>
      <c r="G408" s="185"/>
      <c r="H408" s="185">
        <f t="shared" si="7"/>
        <v>39300</v>
      </c>
      <c r="I408" s="470" t="s">
        <v>317</v>
      </c>
      <c r="J408" s="471" t="s">
        <v>2632</v>
      </c>
      <c r="K408" s="188"/>
    </row>
    <row r="409" spans="1:11" ht="15.6">
      <c r="A409" s="469">
        <v>45888</v>
      </c>
      <c r="B409" s="470" t="s">
        <v>3066</v>
      </c>
      <c r="C409" s="470" t="s">
        <v>174</v>
      </c>
      <c r="D409" s="470" t="s">
        <v>121</v>
      </c>
      <c r="E409" s="471"/>
      <c r="F409" s="470">
        <v>4000</v>
      </c>
      <c r="G409" s="185"/>
      <c r="H409" s="185">
        <f t="shared" si="7"/>
        <v>35300</v>
      </c>
      <c r="I409" s="470" t="s">
        <v>317</v>
      </c>
      <c r="J409" s="471" t="s">
        <v>2638</v>
      </c>
      <c r="K409" s="188"/>
    </row>
    <row r="410" spans="1:11" ht="15.6">
      <c r="A410" s="469">
        <v>45888</v>
      </c>
      <c r="B410" s="470" t="s">
        <v>3091</v>
      </c>
      <c r="C410" s="470" t="s">
        <v>174</v>
      </c>
      <c r="D410" s="470" t="s">
        <v>121</v>
      </c>
      <c r="E410" s="471"/>
      <c r="F410" s="470">
        <v>500</v>
      </c>
      <c r="G410" s="185"/>
      <c r="H410" s="185">
        <f t="shared" si="7"/>
        <v>34800</v>
      </c>
      <c r="I410" s="470" t="s">
        <v>317</v>
      </c>
      <c r="J410" s="471" t="s">
        <v>2632</v>
      </c>
      <c r="K410" s="188"/>
    </row>
    <row r="411" spans="1:11" ht="15.6">
      <c r="A411" s="469">
        <v>45889</v>
      </c>
      <c r="B411" s="470" t="s">
        <v>3092</v>
      </c>
      <c r="C411" s="470" t="s">
        <v>174</v>
      </c>
      <c r="D411" s="470" t="s">
        <v>121</v>
      </c>
      <c r="E411" s="471"/>
      <c r="F411" s="470">
        <v>500</v>
      </c>
      <c r="G411" s="185"/>
      <c r="H411" s="185">
        <f t="shared" si="7"/>
        <v>34300</v>
      </c>
      <c r="I411" s="470" t="s">
        <v>317</v>
      </c>
      <c r="J411" s="471" t="s">
        <v>2632</v>
      </c>
      <c r="K411" s="188"/>
    </row>
    <row r="412" spans="1:11" ht="15.6">
      <c r="A412" s="469">
        <v>45889</v>
      </c>
      <c r="B412" s="470" t="s">
        <v>2628</v>
      </c>
      <c r="C412" s="470" t="s">
        <v>365</v>
      </c>
      <c r="D412" s="470" t="s">
        <v>121</v>
      </c>
      <c r="E412" s="471"/>
      <c r="F412" s="470">
        <v>1500</v>
      </c>
      <c r="G412" s="185"/>
      <c r="H412" s="185">
        <f t="shared" si="7"/>
        <v>32800</v>
      </c>
      <c r="I412" s="470" t="s">
        <v>317</v>
      </c>
      <c r="J412" s="471" t="s">
        <v>2639</v>
      </c>
      <c r="K412" s="188"/>
    </row>
    <row r="413" spans="1:11" ht="15.6">
      <c r="A413" s="469">
        <v>45889</v>
      </c>
      <c r="B413" s="470" t="s">
        <v>3093</v>
      </c>
      <c r="C413" s="470" t="s">
        <v>174</v>
      </c>
      <c r="D413" s="470" t="s">
        <v>121</v>
      </c>
      <c r="E413" s="471"/>
      <c r="F413" s="470">
        <v>500</v>
      </c>
      <c r="G413" s="185"/>
      <c r="H413" s="185">
        <f t="shared" si="7"/>
        <v>32300</v>
      </c>
      <c r="I413" s="470" t="s">
        <v>317</v>
      </c>
      <c r="J413" s="471" t="s">
        <v>2632</v>
      </c>
      <c r="K413" s="188"/>
    </row>
    <row r="414" spans="1:11" ht="15.6">
      <c r="A414" s="469">
        <v>45889</v>
      </c>
      <c r="B414" s="470" t="s">
        <v>2629</v>
      </c>
      <c r="C414" s="470" t="s">
        <v>174</v>
      </c>
      <c r="D414" s="470" t="s">
        <v>121</v>
      </c>
      <c r="E414" s="471"/>
      <c r="F414" s="470">
        <v>500</v>
      </c>
      <c r="G414" s="185"/>
      <c r="H414" s="185">
        <f t="shared" si="7"/>
        <v>31800</v>
      </c>
      <c r="I414" s="470" t="s">
        <v>317</v>
      </c>
      <c r="J414" s="471" t="s">
        <v>2632</v>
      </c>
      <c r="K414" s="188"/>
    </row>
    <row r="415" spans="1:11" ht="15.6">
      <c r="A415" s="469">
        <v>45889</v>
      </c>
      <c r="B415" s="470" t="s">
        <v>2625</v>
      </c>
      <c r="C415" s="470" t="s">
        <v>124</v>
      </c>
      <c r="D415" s="470" t="s">
        <v>121</v>
      </c>
      <c r="E415" s="471">
        <v>71000</v>
      </c>
      <c r="F415" s="471"/>
      <c r="G415" s="185"/>
      <c r="H415" s="185">
        <f t="shared" si="7"/>
        <v>102800</v>
      </c>
      <c r="I415" s="470" t="s">
        <v>317</v>
      </c>
      <c r="J415" s="471" t="s">
        <v>2640</v>
      </c>
      <c r="K415" s="188"/>
    </row>
    <row r="416" spans="1:11" ht="15.6">
      <c r="A416" s="469">
        <v>45889</v>
      </c>
      <c r="B416" s="470" t="s">
        <v>3094</v>
      </c>
      <c r="C416" s="470" t="s">
        <v>174</v>
      </c>
      <c r="D416" s="470" t="s">
        <v>121</v>
      </c>
      <c r="E416" s="471"/>
      <c r="F416" s="470">
        <v>500</v>
      </c>
      <c r="G416" s="185"/>
      <c r="H416" s="185">
        <f t="shared" si="7"/>
        <v>102300</v>
      </c>
      <c r="I416" s="470" t="s">
        <v>317</v>
      </c>
      <c r="J416" s="471" t="s">
        <v>2632</v>
      </c>
      <c r="K416" s="188"/>
    </row>
    <row r="417" spans="1:11" ht="15.6">
      <c r="A417" s="469">
        <v>45889</v>
      </c>
      <c r="B417" s="470" t="s">
        <v>3095</v>
      </c>
      <c r="C417" s="470" t="s">
        <v>174</v>
      </c>
      <c r="D417" s="470" t="s">
        <v>121</v>
      </c>
      <c r="E417" s="471"/>
      <c r="F417" s="470">
        <v>500</v>
      </c>
      <c r="G417" s="185"/>
      <c r="H417" s="185">
        <f t="shared" si="7"/>
        <v>101800</v>
      </c>
      <c r="I417" s="470" t="s">
        <v>317</v>
      </c>
      <c r="J417" s="471" t="s">
        <v>2632</v>
      </c>
      <c r="K417" s="188"/>
    </row>
    <row r="418" spans="1:11" ht="15.6">
      <c r="A418" s="469">
        <v>45890</v>
      </c>
      <c r="B418" s="470" t="s">
        <v>3067</v>
      </c>
      <c r="C418" s="470" t="s">
        <v>177</v>
      </c>
      <c r="D418" s="470" t="s">
        <v>121</v>
      </c>
      <c r="E418" s="471"/>
      <c r="F418" s="470">
        <v>30000</v>
      </c>
      <c r="G418" s="185"/>
      <c r="H418" s="185">
        <f t="shared" si="7"/>
        <v>71800</v>
      </c>
      <c r="I418" s="470" t="s">
        <v>317</v>
      </c>
      <c r="J418" s="471" t="s">
        <v>2641</v>
      </c>
      <c r="K418" s="188"/>
    </row>
    <row r="419" spans="1:11" ht="15.6">
      <c r="A419" s="469">
        <v>45890</v>
      </c>
      <c r="B419" s="470" t="s">
        <v>3096</v>
      </c>
      <c r="C419" s="470" t="s">
        <v>174</v>
      </c>
      <c r="D419" s="470" t="s">
        <v>121</v>
      </c>
      <c r="E419" s="471"/>
      <c r="F419" s="470">
        <v>500</v>
      </c>
      <c r="G419" s="185"/>
      <c r="H419" s="185">
        <f t="shared" si="7"/>
        <v>71300</v>
      </c>
      <c r="I419" s="470" t="s">
        <v>317</v>
      </c>
      <c r="J419" s="471" t="s">
        <v>2632</v>
      </c>
      <c r="K419" s="188"/>
    </row>
    <row r="420" spans="1:11" ht="15.6">
      <c r="A420" s="469">
        <v>45890</v>
      </c>
      <c r="B420" s="470" t="s">
        <v>3064</v>
      </c>
      <c r="C420" s="470" t="s">
        <v>174</v>
      </c>
      <c r="D420" s="470" t="s">
        <v>121</v>
      </c>
      <c r="E420" s="471"/>
      <c r="F420" s="470">
        <v>4000</v>
      </c>
      <c r="G420" s="185"/>
      <c r="H420" s="185">
        <f t="shared" si="7"/>
        <v>67300</v>
      </c>
      <c r="I420" s="470" t="s">
        <v>317</v>
      </c>
      <c r="J420" s="471" t="s">
        <v>2642</v>
      </c>
      <c r="K420" s="188"/>
    </row>
    <row r="421" spans="1:11" ht="15.6">
      <c r="A421" s="469">
        <v>45890</v>
      </c>
      <c r="B421" s="470" t="s">
        <v>3097</v>
      </c>
      <c r="C421" s="470" t="s">
        <v>174</v>
      </c>
      <c r="D421" s="470" t="s">
        <v>121</v>
      </c>
      <c r="E421" s="471"/>
      <c r="F421" s="470">
        <v>500</v>
      </c>
      <c r="G421" s="185"/>
      <c r="H421" s="185">
        <f t="shared" si="7"/>
        <v>66800</v>
      </c>
      <c r="I421" s="470" t="s">
        <v>317</v>
      </c>
      <c r="J421" s="471" t="s">
        <v>2632</v>
      </c>
      <c r="K421" s="188"/>
    </row>
    <row r="422" spans="1:11" ht="15.6">
      <c r="A422" s="469">
        <v>45890</v>
      </c>
      <c r="B422" s="470" t="s">
        <v>2627</v>
      </c>
      <c r="C422" s="470" t="s">
        <v>174</v>
      </c>
      <c r="D422" s="470" t="s">
        <v>121</v>
      </c>
      <c r="E422" s="471"/>
      <c r="F422" s="470">
        <v>500</v>
      </c>
      <c r="G422" s="185"/>
      <c r="H422" s="185">
        <f t="shared" si="7"/>
        <v>66300</v>
      </c>
      <c r="I422" s="470" t="s">
        <v>317</v>
      </c>
      <c r="J422" s="471" t="s">
        <v>2632</v>
      </c>
      <c r="K422" s="188"/>
    </row>
    <row r="423" spans="1:11" ht="15.6">
      <c r="A423" s="469">
        <v>45890</v>
      </c>
      <c r="B423" s="470" t="s">
        <v>3098</v>
      </c>
      <c r="C423" s="470" t="s">
        <v>174</v>
      </c>
      <c r="D423" s="470" t="s">
        <v>121</v>
      </c>
      <c r="E423" s="471"/>
      <c r="F423" s="470">
        <v>500</v>
      </c>
      <c r="G423" s="185"/>
      <c r="H423" s="185">
        <f t="shared" si="7"/>
        <v>65800</v>
      </c>
      <c r="I423" s="470" t="s">
        <v>317</v>
      </c>
      <c r="J423" s="471" t="s">
        <v>2632</v>
      </c>
      <c r="K423" s="188"/>
    </row>
    <row r="424" spans="1:11" ht="15.6">
      <c r="A424" s="469">
        <v>45890</v>
      </c>
      <c r="B424" s="470" t="s">
        <v>3099</v>
      </c>
      <c r="C424" s="470" t="s">
        <v>174</v>
      </c>
      <c r="D424" s="470" t="s">
        <v>121</v>
      </c>
      <c r="E424" s="471"/>
      <c r="F424" s="470">
        <v>500</v>
      </c>
      <c r="G424" s="185"/>
      <c r="H424" s="185">
        <f t="shared" si="7"/>
        <v>65300</v>
      </c>
      <c r="I424" s="470" t="s">
        <v>317</v>
      </c>
      <c r="J424" s="471" t="s">
        <v>2632</v>
      </c>
      <c r="K424" s="188"/>
    </row>
    <row r="425" spans="1:11" ht="15.6">
      <c r="A425" s="469">
        <v>45891</v>
      </c>
      <c r="B425" s="470" t="s">
        <v>3083</v>
      </c>
      <c r="C425" s="470" t="s">
        <v>174</v>
      </c>
      <c r="D425" s="470" t="s">
        <v>121</v>
      </c>
      <c r="E425" s="471"/>
      <c r="F425" s="470">
        <v>500</v>
      </c>
      <c r="G425" s="185"/>
      <c r="H425" s="185">
        <f t="shared" si="7"/>
        <v>64800</v>
      </c>
      <c r="I425" s="470" t="s">
        <v>317</v>
      </c>
      <c r="J425" s="471" t="s">
        <v>2632</v>
      </c>
      <c r="K425" s="188"/>
    </row>
    <row r="426" spans="1:11" ht="15.6">
      <c r="A426" s="469">
        <v>45891</v>
      </c>
      <c r="B426" s="470" t="s">
        <v>3100</v>
      </c>
      <c r="C426" s="470" t="s">
        <v>174</v>
      </c>
      <c r="D426" s="470" t="s">
        <v>121</v>
      </c>
      <c r="E426" s="471"/>
      <c r="F426" s="470">
        <v>500</v>
      </c>
      <c r="G426" s="185"/>
      <c r="H426" s="185">
        <f t="shared" si="7"/>
        <v>64300</v>
      </c>
      <c r="I426" s="470" t="s">
        <v>317</v>
      </c>
      <c r="J426" s="471" t="s">
        <v>2632</v>
      </c>
      <c r="K426" s="188"/>
    </row>
    <row r="427" spans="1:11" ht="15.6">
      <c r="A427" s="469">
        <v>45891</v>
      </c>
      <c r="B427" s="470" t="s">
        <v>2630</v>
      </c>
      <c r="C427" s="470" t="s">
        <v>365</v>
      </c>
      <c r="D427" s="470" t="s">
        <v>121</v>
      </c>
      <c r="E427" s="471"/>
      <c r="F427" s="470">
        <v>2000</v>
      </c>
      <c r="G427" s="185"/>
      <c r="H427" s="185">
        <f t="shared" si="7"/>
        <v>62300</v>
      </c>
      <c r="I427" s="470" t="s">
        <v>317</v>
      </c>
      <c r="J427" s="471" t="s">
        <v>2639</v>
      </c>
      <c r="K427" s="188"/>
    </row>
    <row r="428" spans="1:11" ht="15.6">
      <c r="A428" s="469">
        <v>45891</v>
      </c>
      <c r="B428" s="470" t="s">
        <v>3101</v>
      </c>
      <c r="C428" s="470" t="s">
        <v>174</v>
      </c>
      <c r="D428" s="470" t="s">
        <v>121</v>
      </c>
      <c r="E428" s="471"/>
      <c r="F428" s="470">
        <v>500</v>
      </c>
      <c r="G428" s="185"/>
      <c r="H428" s="185">
        <f t="shared" si="7"/>
        <v>61800</v>
      </c>
      <c r="I428" s="470" t="s">
        <v>317</v>
      </c>
      <c r="J428" s="471" t="s">
        <v>2632</v>
      </c>
      <c r="K428" s="188"/>
    </row>
    <row r="429" spans="1:11" ht="15.6">
      <c r="A429" s="469">
        <v>45891</v>
      </c>
      <c r="B429" s="470" t="s">
        <v>3102</v>
      </c>
      <c r="C429" s="470" t="s">
        <v>174</v>
      </c>
      <c r="D429" s="470" t="s">
        <v>121</v>
      </c>
      <c r="E429" s="471"/>
      <c r="F429" s="470">
        <v>500</v>
      </c>
      <c r="G429" s="185"/>
      <c r="H429" s="185">
        <f t="shared" si="7"/>
        <v>61300</v>
      </c>
      <c r="I429" s="470" t="s">
        <v>317</v>
      </c>
      <c r="J429" s="471" t="s">
        <v>2632</v>
      </c>
      <c r="K429" s="188"/>
    </row>
    <row r="430" spans="1:11" ht="15.6">
      <c r="A430" s="469">
        <v>45891</v>
      </c>
      <c r="B430" s="470" t="s">
        <v>3103</v>
      </c>
      <c r="C430" s="470" t="s">
        <v>174</v>
      </c>
      <c r="D430" s="470" t="s">
        <v>121</v>
      </c>
      <c r="E430" s="471"/>
      <c r="F430" s="470">
        <v>500</v>
      </c>
      <c r="G430" s="185"/>
      <c r="H430" s="185">
        <f t="shared" si="7"/>
        <v>60800</v>
      </c>
      <c r="I430" s="470" t="s">
        <v>317</v>
      </c>
      <c r="J430" s="471" t="s">
        <v>2632</v>
      </c>
      <c r="K430" s="188"/>
    </row>
    <row r="431" spans="1:11" ht="15.6">
      <c r="A431" s="469">
        <v>45892</v>
      </c>
      <c r="B431" s="470" t="s">
        <v>3067</v>
      </c>
      <c r="C431" s="470" t="s">
        <v>177</v>
      </c>
      <c r="D431" s="470" t="s">
        <v>121</v>
      </c>
      <c r="E431" s="471"/>
      <c r="F431" s="470">
        <v>30000</v>
      </c>
      <c r="G431" s="185"/>
      <c r="H431" s="185">
        <f t="shared" si="7"/>
        <v>30800</v>
      </c>
      <c r="I431" s="470" t="s">
        <v>317</v>
      </c>
      <c r="J431" s="471" t="s">
        <v>2643</v>
      </c>
      <c r="K431" s="188"/>
    </row>
    <row r="432" spans="1:11" ht="15.6">
      <c r="A432" s="469">
        <v>45892</v>
      </c>
      <c r="B432" s="470" t="s">
        <v>3096</v>
      </c>
      <c r="C432" s="470" t="s">
        <v>174</v>
      </c>
      <c r="D432" s="470" t="s">
        <v>121</v>
      </c>
      <c r="E432" s="471"/>
      <c r="F432" s="470">
        <v>500</v>
      </c>
      <c r="G432" s="185"/>
      <c r="H432" s="185">
        <f t="shared" si="7"/>
        <v>30300</v>
      </c>
      <c r="I432" s="470" t="s">
        <v>317</v>
      </c>
      <c r="J432" s="471" t="s">
        <v>2632</v>
      </c>
      <c r="K432" s="188"/>
    </row>
    <row r="433" spans="1:11" ht="15.6">
      <c r="A433" s="469">
        <v>45892</v>
      </c>
      <c r="B433" s="470" t="s">
        <v>3066</v>
      </c>
      <c r="C433" s="470" t="s">
        <v>174</v>
      </c>
      <c r="D433" s="470" t="s">
        <v>121</v>
      </c>
      <c r="E433" s="471"/>
      <c r="F433" s="470">
        <v>5000</v>
      </c>
      <c r="G433" s="185"/>
      <c r="H433" s="185">
        <f t="shared" si="7"/>
        <v>25300</v>
      </c>
      <c r="I433" s="470" t="s">
        <v>317</v>
      </c>
      <c r="J433" s="471" t="s">
        <v>2644</v>
      </c>
      <c r="K433" s="188"/>
    </row>
    <row r="434" spans="1:11" ht="15.6">
      <c r="A434" s="469">
        <v>45892</v>
      </c>
      <c r="B434" s="470" t="s">
        <v>3083</v>
      </c>
      <c r="C434" s="470" t="s">
        <v>174</v>
      </c>
      <c r="D434" s="470" t="s">
        <v>121</v>
      </c>
      <c r="E434" s="471"/>
      <c r="F434" s="470">
        <v>500</v>
      </c>
      <c r="G434" s="185"/>
      <c r="H434" s="185">
        <f t="shared" si="7"/>
        <v>24800</v>
      </c>
      <c r="I434" s="470" t="s">
        <v>317</v>
      </c>
      <c r="J434" s="471" t="s">
        <v>2632</v>
      </c>
      <c r="K434" s="188"/>
    </row>
    <row r="435" spans="1:11" ht="15.6">
      <c r="A435" s="469">
        <v>45892</v>
      </c>
      <c r="B435" s="470" t="s">
        <v>3104</v>
      </c>
      <c r="C435" s="470" t="s">
        <v>174</v>
      </c>
      <c r="D435" s="470" t="s">
        <v>121</v>
      </c>
      <c r="E435" s="471"/>
      <c r="F435" s="470">
        <v>500</v>
      </c>
      <c r="G435" s="185"/>
      <c r="H435" s="185">
        <f t="shared" si="7"/>
        <v>24300</v>
      </c>
      <c r="I435" s="470" t="s">
        <v>317</v>
      </c>
      <c r="J435" s="471" t="s">
        <v>2632</v>
      </c>
      <c r="K435" s="188"/>
    </row>
    <row r="436" spans="1:11" ht="15.6">
      <c r="A436" s="469">
        <v>45892</v>
      </c>
      <c r="B436" s="470" t="s">
        <v>3105</v>
      </c>
      <c r="C436" s="470" t="s">
        <v>174</v>
      </c>
      <c r="D436" s="470" t="s">
        <v>121</v>
      </c>
      <c r="E436" s="471"/>
      <c r="F436" s="470">
        <v>500</v>
      </c>
      <c r="G436" s="185"/>
      <c r="H436" s="185">
        <f t="shared" si="7"/>
        <v>23800</v>
      </c>
      <c r="I436" s="470" t="s">
        <v>317</v>
      </c>
      <c r="J436" s="471" t="s">
        <v>2632</v>
      </c>
      <c r="K436" s="188"/>
    </row>
    <row r="437" spans="1:11" ht="15.6">
      <c r="A437" s="469">
        <v>45892</v>
      </c>
      <c r="B437" s="470" t="s">
        <v>3106</v>
      </c>
      <c r="C437" s="470" t="s">
        <v>174</v>
      </c>
      <c r="D437" s="470" t="s">
        <v>121</v>
      </c>
      <c r="E437" s="471"/>
      <c r="F437" s="470">
        <v>500</v>
      </c>
      <c r="G437" s="185"/>
      <c r="H437" s="185">
        <f t="shared" si="7"/>
        <v>23300</v>
      </c>
      <c r="I437" s="470" t="s">
        <v>317</v>
      </c>
      <c r="J437" s="471" t="s">
        <v>2632</v>
      </c>
      <c r="K437" s="188"/>
    </row>
    <row r="438" spans="1:11" ht="15.6">
      <c r="A438" s="469">
        <v>45893</v>
      </c>
      <c r="B438" s="470" t="s">
        <v>3067</v>
      </c>
      <c r="C438" s="470" t="s">
        <v>177</v>
      </c>
      <c r="D438" s="470" t="s">
        <v>121</v>
      </c>
      <c r="E438" s="471"/>
      <c r="F438" s="470">
        <v>15000</v>
      </c>
      <c r="G438" s="185"/>
      <c r="H438" s="185">
        <f t="shared" si="7"/>
        <v>8300</v>
      </c>
      <c r="I438" s="470" t="s">
        <v>317</v>
      </c>
      <c r="J438" s="471" t="s">
        <v>2645</v>
      </c>
      <c r="K438" s="188"/>
    </row>
    <row r="439" spans="1:11" ht="15.6">
      <c r="A439" s="469">
        <v>45893</v>
      </c>
      <c r="B439" s="470" t="s">
        <v>3096</v>
      </c>
      <c r="C439" s="470" t="s">
        <v>174</v>
      </c>
      <c r="D439" s="470" t="s">
        <v>121</v>
      </c>
      <c r="E439" s="471"/>
      <c r="F439" s="470">
        <v>500</v>
      </c>
      <c r="G439" s="185"/>
      <c r="H439" s="185">
        <f t="shared" si="7"/>
        <v>7800</v>
      </c>
      <c r="I439" s="470" t="s">
        <v>317</v>
      </c>
      <c r="J439" s="471" t="s">
        <v>2632</v>
      </c>
      <c r="K439" s="188"/>
    </row>
    <row r="440" spans="1:11" ht="15.6">
      <c r="A440" s="469">
        <v>45893</v>
      </c>
      <c r="B440" s="470" t="s">
        <v>3066</v>
      </c>
      <c r="C440" s="470" t="s">
        <v>174</v>
      </c>
      <c r="D440" s="470" t="s">
        <v>121</v>
      </c>
      <c r="E440" s="471"/>
      <c r="F440" s="470">
        <v>5000</v>
      </c>
      <c r="G440" s="185"/>
      <c r="H440" s="185">
        <f t="shared" si="7"/>
        <v>2800</v>
      </c>
      <c r="I440" s="470" t="s">
        <v>317</v>
      </c>
      <c r="J440" s="471" t="s">
        <v>2646</v>
      </c>
      <c r="K440" s="188"/>
    </row>
    <row r="441" spans="1:11" ht="15.6">
      <c r="A441" s="469">
        <v>45893</v>
      </c>
      <c r="B441" s="470" t="s">
        <v>3107</v>
      </c>
      <c r="C441" s="470" t="s">
        <v>174</v>
      </c>
      <c r="D441" s="470" t="s">
        <v>121</v>
      </c>
      <c r="E441" s="471"/>
      <c r="F441" s="470">
        <v>4000</v>
      </c>
      <c r="G441" s="185"/>
      <c r="H441" s="185">
        <f t="shared" si="7"/>
        <v>-1200</v>
      </c>
      <c r="I441" s="470" t="s">
        <v>317</v>
      </c>
      <c r="J441" s="471" t="s">
        <v>2632</v>
      </c>
      <c r="K441" s="188"/>
    </row>
    <row r="442" spans="1:11" ht="15.6">
      <c r="A442" s="469">
        <v>45896</v>
      </c>
      <c r="B442" s="470" t="s">
        <v>2625</v>
      </c>
      <c r="C442" s="470" t="s">
        <v>124</v>
      </c>
      <c r="D442" s="470" t="s">
        <v>121</v>
      </c>
      <c r="E442" s="471">
        <v>20000</v>
      </c>
      <c r="F442" s="471"/>
      <c r="G442" s="185"/>
      <c r="H442" s="185">
        <f t="shared" si="7"/>
        <v>18800</v>
      </c>
      <c r="I442" s="470" t="s">
        <v>317</v>
      </c>
      <c r="J442" s="471" t="s">
        <v>2647</v>
      </c>
      <c r="K442" s="188"/>
    </row>
    <row r="443" spans="1:11" ht="15.6">
      <c r="A443" s="469">
        <v>45896</v>
      </c>
      <c r="B443" s="470" t="s">
        <v>3108</v>
      </c>
      <c r="C443" s="470" t="s">
        <v>174</v>
      </c>
      <c r="D443" s="470" t="s">
        <v>121</v>
      </c>
      <c r="E443" s="471"/>
      <c r="F443" s="470">
        <v>2000</v>
      </c>
      <c r="G443" s="185"/>
      <c r="H443" s="185">
        <f t="shared" si="7"/>
        <v>16800</v>
      </c>
      <c r="I443" s="470" t="s">
        <v>317</v>
      </c>
      <c r="J443" s="471" t="s">
        <v>2632</v>
      </c>
      <c r="K443" s="188"/>
    </row>
    <row r="444" spans="1:11" ht="15.6">
      <c r="A444" s="469">
        <v>45896</v>
      </c>
      <c r="B444" s="470" t="s">
        <v>3109</v>
      </c>
      <c r="C444" s="470" t="s">
        <v>174</v>
      </c>
      <c r="D444" s="470" t="s">
        <v>121</v>
      </c>
      <c r="E444" s="471"/>
      <c r="F444" s="470">
        <v>2000</v>
      </c>
      <c r="G444" s="185"/>
      <c r="H444" s="185">
        <f t="shared" si="7"/>
        <v>14800</v>
      </c>
      <c r="I444" s="470" t="s">
        <v>317</v>
      </c>
      <c r="J444" s="471" t="s">
        <v>2632</v>
      </c>
      <c r="K444" s="188"/>
    </row>
    <row r="445" spans="1:11" ht="15.6">
      <c r="A445" s="469">
        <v>45896</v>
      </c>
      <c r="B445" s="470" t="s">
        <v>2997</v>
      </c>
      <c r="C445" s="470" t="s">
        <v>174</v>
      </c>
      <c r="D445" s="470" t="s">
        <v>121</v>
      </c>
      <c r="E445" s="471"/>
      <c r="F445" s="470">
        <v>1000</v>
      </c>
      <c r="G445" s="185"/>
      <c r="H445" s="185">
        <f t="shared" si="7"/>
        <v>13800</v>
      </c>
      <c r="I445" s="470" t="s">
        <v>317</v>
      </c>
      <c r="J445" s="471" t="s">
        <v>2632</v>
      </c>
      <c r="K445" s="188"/>
    </row>
    <row r="446" spans="1:11" ht="15.6">
      <c r="A446" s="469">
        <v>45896</v>
      </c>
      <c r="B446" s="470" t="s">
        <v>3057</v>
      </c>
      <c r="C446" s="470" t="s">
        <v>174</v>
      </c>
      <c r="D446" s="470" t="s">
        <v>121</v>
      </c>
      <c r="E446" s="471"/>
      <c r="F446" s="470">
        <v>1500</v>
      </c>
      <c r="G446" s="185"/>
      <c r="H446" s="185">
        <f t="shared" si="7"/>
        <v>12300</v>
      </c>
      <c r="I446" s="470" t="s">
        <v>317</v>
      </c>
      <c r="J446" s="471" t="s">
        <v>2632</v>
      </c>
      <c r="K446" s="188"/>
    </row>
    <row r="447" spans="1:11" ht="15.6">
      <c r="A447" s="180"/>
      <c r="B447" s="188"/>
      <c r="C447" s="188"/>
      <c r="D447" s="188"/>
      <c r="E447" s="201">
        <f>SUM(E386:E446)</f>
        <v>221000</v>
      </c>
      <c r="F447" s="201">
        <f>SUM(F386:F446)</f>
        <v>216000</v>
      </c>
      <c r="G447" s="201"/>
      <c r="H447" s="209">
        <f>+E447-F447+H385</f>
        <v>12300</v>
      </c>
      <c r="I447" s="188"/>
      <c r="J447" s="188"/>
      <c r="K447" s="188"/>
    </row>
    <row r="448" spans="1:11" ht="15.6">
      <c r="A448" s="180"/>
      <c r="B448" s="188"/>
      <c r="C448" s="188"/>
      <c r="D448" s="188"/>
      <c r="E448" s="201"/>
      <c r="F448" s="201"/>
      <c r="G448" s="201"/>
      <c r="H448" s="209"/>
      <c r="I448" s="188"/>
      <c r="J448" s="188"/>
      <c r="K448" s="188"/>
    </row>
    <row r="449" spans="1:11" ht="15.6">
      <c r="A449" s="190"/>
      <c r="B449" s="188"/>
      <c r="C449" s="191" t="s">
        <v>457</v>
      </c>
      <c r="D449" s="188"/>
      <c r="E449" s="192"/>
      <c r="F449" s="192"/>
      <c r="G449" s="192"/>
      <c r="H449" s="193"/>
      <c r="I449" s="188"/>
      <c r="J449" s="188"/>
      <c r="K449" s="188"/>
    </row>
    <row r="450" spans="1:11" ht="15.6">
      <c r="A450" s="190"/>
      <c r="B450" s="188"/>
      <c r="C450" s="188"/>
      <c r="D450" s="188"/>
      <c r="E450" s="192"/>
      <c r="F450" s="192"/>
      <c r="G450" s="192"/>
      <c r="H450" s="193"/>
      <c r="I450" s="188"/>
      <c r="J450" s="188"/>
      <c r="K450" s="188"/>
    </row>
    <row r="451" spans="1:11" ht="15.6">
      <c r="A451" s="194" t="s">
        <v>0</v>
      </c>
      <c r="B451" s="195" t="s">
        <v>445</v>
      </c>
      <c r="C451" s="195" t="s">
        <v>446</v>
      </c>
      <c r="D451" s="195" t="s">
        <v>447</v>
      </c>
      <c r="E451" s="196" t="s">
        <v>448</v>
      </c>
      <c r="F451" s="196" t="s">
        <v>449</v>
      </c>
      <c r="G451" s="196"/>
      <c r="H451" s="203" t="s">
        <v>30</v>
      </c>
      <c r="I451" s="195" t="s">
        <v>450</v>
      </c>
      <c r="J451" s="195" t="s">
        <v>451</v>
      </c>
      <c r="K451" s="198"/>
    </row>
    <row r="452" spans="1:11" ht="15.6">
      <c r="A452" s="148">
        <v>45870</v>
      </c>
      <c r="B452" s="182" t="s">
        <v>2882</v>
      </c>
      <c r="C452" s="182"/>
      <c r="D452" s="182"/>
      <c r="E452" s="185"/>
      <c r="F452" s="185"/>
      <c r="G452" s="185"/>
      <c r="H452" s="210">
        <v>0</v>
      </c>
      <c r="I452" s="182" t="s">
        <v>323</v>
      </c>
      <c r="J452" s="182"/>
      <c r="K452" s="188"/>
    </row>
    <row r="453" spans="1:11" ht="15.6">
      <c r="A453" s="227">
        <v>45876</v>
      </c>
      <c r="B453" s="470" t="s">
        <v>2648</v>
      </c>
      <c r="C453" s="470" t="s">
        <v>152</v>
      </c>
      <c r="D453" s="470" t="s">
        <v>121</v>
      </c>
      <c r="E453" s="228">
        <v>5000</v>
      </c>
      <c r="F453" s="228"/>
      <c r="G453" s="185"/>
      <c r="H453" s="210">
        <f>H452+E453-F453</f>
        <v>5000</v>
      </c>
      <c r="I453" s="129" t="s">
        <v>323</v>
      </c>
      <c r="J453" s="129" t="s">
        <v>2669</v>
      </c>
      <c r="K453" s="188"/>
    </row>
    <row r="454" spans="1:11" ht="15.6">
      <c r="A454" s="227">
        <v>45876</v>
      </c>
      <c r="B454" s="470" t="s">
        <v>2648</v>
      </c>
      <c r="C454" s="470" t="s">
        <v>152</v>
      </c>
      <c r="D454" s="470" t="s">
        <v>121</v>
      </c>
      <c r="E454" s="228"/>
      <c r="F454" s="228">
        <v>5000</v>
      </c>
      <c r="G454" s="185"/>
      <c r="H454" s="210">
        <f t="shared" ref="H454:H509" si="8">H453+E454-F454</f>
        <v>0</v>
      </c>
      <c r="I454" s="129" t="s">
        <v>323</v>
      </c>
      <c r="J454" s="129" t="s">
        <v>2669</v>
      </c>
      <c r="K454" s="188"/>
    </row>
    <row r="455" spans="1:11" ht="15.6">
      <c r="A455" s="227">
        <v>45880</v>
      </c>
      <c r="B455" s="76" t="s">
        <v>2649</v>
      </c>
      <c r="C455" s="76" t="s">
        <v>124</v>
      </c>
      <c r="D455" s="124" t="s">
        <v>121</v>
      </c>
      <c r="E455" s="225">
        <v>15000</v>
      </c>
      <c r="F455" s="225"/>
      <c r="G455" s="185"/>
      <c r="H455" s="210">
        <f t="shared" si="8"/>
        <v>15000</v>
      </c>
      <c r="I455" s="76" t="s">
        <v>323</v>
      </c>
      <c r="J455" s="76" t="s">
        <v>2670</v>
      </c>
      <c r="K455" s="188"/>
    </row>
    <row r="456" spans="1:11" ht="15.6">
      <c r="A456" s="227">
        <v>45880</v>
      </c>
      <c r="B456" s="76" t="s">
        <v>2650</v>
      </c>
      <c r="C456" s="76" t="s">
        <v>174</v>
      </c>
      <c r="D456" s="124" t="s">
        <v>121</v>
      </c>
      <c r="E456" s="225"/>
      <c r="F456" s="225">
        <v>1000</v>
      </c>
      <c r="G456" s="185"/>
      <c r="H456" s="210">
        <f t="shared" si="8"/>
        <v>14000</v>
      </c>
      <c r="I456" s="76" t="s">
        <v>323</v>
      </c>
      <c r="J456" s="76" t="s">
        <v>2671</v>
      </c>
      <c r="K456" s="188"/>
    </row>
    <row r="457" spans="1:11" ht="15.6">
      <c r="A457" s="227">
        <v>45880</v>
      </c>
      <c r="B457" s="76" t="s">
        <v>2651</v>
      </c>
      <c r="C457" s="76" t="s">
        <v>174</v>
      </c>
      <c r="D457" s="124" t="s">
        <v>121</v>
      </c>
      <c r="E457" s="225"/>
      <c r="F457" s="225">
        <v>1000</v>
      </c>
      <c r="G457" s="185"/>
      <c r="H457" s="210">
        <f t="shared" si="8"/>
        <v>13000</v>
      </c>
      <c r="I457" s="76" t="s">
        <v>323</v>
      </c>
      <c r="J457" s="76" t="s">
        <v>2671</v>
      </c>
      <c r="K457" s="188"/>
    </row>
    <row r="458" spans="1:11" ht="15.6">
      <c r="A458" s="227">
        <v>45881</v>
      </c>
      <c r="B458" s="76" t="s">
        <v>2652</v>
      </c>
      <c r="C458" s="76" t="s">
        <v>174</v>
      </c>
      <c r="D458" s="124" t="s">
        <v>121</v>
      </c>
      <c r="E458" s="225"/>
      <c r="F458" s="225">
        <v>1000</v>
      </c>
      <c r="G458" s="185"/>
      <c r="H458" s="210">
        <f t="shared" si="8"/>
        <v>12000</v>
      </c>
      <c r="I458" s="76" t="s">
        <v>323</v>
      </c>
      <c r="J458" s="76" t="s">
        <v>2671</v>
      </c>
      <c r="K458" s="188"/>
    </row>
    <row r="459" spans="1:11" ht="15.6">
      <c r="A459" s="227">
        <v>45881</v>
      </c>
      <c r="B459" s="76" t="s">
        <v>2653</v>
      </c>
      <c r="C459" s="76" t="s">
        <v>174</v>
      </c>
      <c r="D459" s="124" t="s">
        <v>121</v>
      </c>
      <c r="E459" s="225"/>
      <c r="F459" s="225">
        <v>1000</v>
      </c>
      <c r="G459" s="185"/>
      <c r="H459" s="210">
        <f t="shared" si="8"/>
        <v>11000</v>
      </c>
      <c r="I459" s="76" t="s">
        <v>323</v>
      </c>
      <c r="J459" s="76" t="s">
        <v>2671</v>
      </c>
      <c r="K459" s="188"/>
    </row>
    <row r="460" spans="1:11" ht="15.6">
      <c r="A460" s="227">
        <v>45881</v>
      </c>
      <c r="B460" s="76" t="s">
        <v>2654</v>
      </c>
      <c r="C460" s="76" t="s">
        <v>174</v>
      </c>
      <c r="D460" s="124" t="s">
        <v>121</v>
      </c>
      <c r="E460" s="225"/>
      <c r="F460" s="225">
        <v>1000</v>
      </c>
      <c r="G460" s="185"/>
      <c r="H460" s="210">
        <f t="shared" si="8"/>
        <v>10000</v>
      </c>
      <c r="I460" s="76" t="s">
        <v>323</v>
      </c>
      <c r="J460" s="76" t="s">
        <v>2671</v>
      </c>
      <c r="K460" s="188"/>
    </row>
    <row r="461" spans="1:11" ht="15.6">
      <c r="A461" s="227">
        <v>45881</v>
      </c>
      <c r="B461" s="76" t="s">
        <v>2655</v>
      </c>
      <c r="C461" s="76" t="s">
        <v>174</v>
      </c>
      <c r="D461" s="124" t="s">
        <v>121</v>
      </c>
      <c r="E461" s="225"/>
      <c r="F461" s="225">
        <v>1000</v>
      </c>
      <c r="G461" s="185"/>
      <c r="H461" s="210">
        <f t="shared" si="8"/>
        <v>9000</v>
      </c>
      <c r="I461" s="76" t="s">
        <v>323</v>
      </c>
      <c r="J461" s="76" t="s">
        <v>2671</v>
      </c>
      <c r="K461" s="188"/>
    </row>
    <row r="462" spans="1:11" ht="15.6">
      <c r="A462" s="227">
        <v>45882</v>
      </c>
      <c r="B462" s="76" t="s">
        <v>3110</v>
      </c>
      <c r="C462" s="76" t="s">
        <v>174</v>
      </c>
      <c r="D462" s="124" t="s">
        <v>121</v>
      </c>
      <c r="E462" s="225"/>
      <c r="F462" s="225">
        <v>1500</v>
      </c>
      <c r="G462" s="185"/>
      <c r="H462" s="210">
        <f t="shared" si="8"/>
        <v>7500</v>
      </c>
      <c r="I462" s="76" t="s">
        <v>323</v>
      </c>
      <c r="J462" s="76" t="s">
        <v>2671</v>
      </c>
      <c r="K462" s="188"/>
    </row>
    <row r="463" spans="1:11" ht="15.6">
      <c r="A463" s="227">
        <v>45882</v>
      </c>
      <c r="B463" s="76" t="s">
        <v>2656</v>
      </c>
      <c r="C463" s="76" t="s">
        <v>174</v>
      </c>
      <c r="D463" s="124" t="s">
        <v>121</v>
      </c>
      <c r="E463" s="225"/>
      <c r="F463" s="225">
        <v>1500</v>
      </c>
      <c r="G463" s="185"/>
      <c r="H463" s="210">
        <f t="shared" si="8"/>
        <v>6000</v>
      </c>
      <c r="I463" s="76" t="s">
        <v>323</v>
      </c>
      <c r="J463" s="76" t="s">
        <v>2671</v>
      </c>
      <c r="K463" s="188"/>
    </row>
    <row r="464" spans="1:11" ht="15.6">
      <c r="A464" s="227">
        <v>45882</v>
      </c>
      <c r="B464" s="76" t="s">
        <v>2657</v>
      </c>
      <c r="C464" s="76" t="s">
        <v>174</v>
      </c>
      <c r="D464" s="124" t="s">
        <v>121</v>
      </c>
      <c r="E464" s="225"/>
      <c r="F464" s="225">
        <v>1000</v>
      </c>
      <c r="G464" s="185"/>
      <c r="H464" s="210">
        <f t="shared" si="8"/>
        <v>5000</v>
      </c>
      <c r="I464" s="76" t="s">
        <v>323</v>
      </c>
      <c r="J464" s="76" t="s">
        <v>2671</v>
      </c>
      <c r="K464" s="188"/>
    </row>
    <row r="465" spans="1:11" ht="15.6">
      <c r="A465" s="227">
        <v>45887</v>
      </c>
      <c r="B465" s="76" t="s">
        <v>2658</v>
      </c>
      <c r="C465" s="76" t="s">
        <v>124</v>
      </c>
      <c r="D465" s="124" t="s">
        <v>121</v>
      </c>
      <c r="E465" s="225">
        <v>100000</v>
      </c>
      <c r="F465" s="225"/>
      <c r="G465" s="185"/>
      <c r="H465" s="210">
        <f t="shared" si="8"/>
        <v>105000</v>
      </c>
      <c r="I465" s="76" t="s">
        <v>323</v>
      </c>
      <c r="J465" s="76" t="s">
        <v>2672</v>
      </c>
      <c r="K465" s="188"/>
    </row>
    <row r="466" spans="1:11" ht="15.6">
      <c r="A466" s="227">
        <v>45887</v>
      </c>
      <c r="B466" s="76" t="s">
        <v>3111</v>
      </c>
      <c r="C466" s="76" t="s">
        <v>174</v>
      </c>
      <c r="D466" s="124" t="s">
        <v>121</v>
      </c>
      <c r="E466" s="225"/>
      <c r="F466" s="225">
        <v>12000</v>
      </c>
      <c r="G466" s="185"/>
      <c r="H466" s="210">
        <f t="shared" si="8"/>
        <v>93000</v>
      </c>
      <c r="I466" s="76" t="s">
        <v>323</v>
      </c>
      <c r="J466" s="129" t="s">
        <v>2673</v>
      </c>
      <c r="K466" s="188"/>
    </row>
    <row r="467" spans="1:11" ht="15.6">
      <c r="A467" s="227">
        <v>45887</v>
      </c>
      <c r="B467" s="470" t="s">
        <v>2659</v>
      </c>
      <c r="C467" s="470" t="s">
        <v>152</v>
      </c>
      <c r="D467" s="470" t="s">
        <v>121</v>
      </c>
      <c r="E467" s="225">
        <v>5000</v>
      </c>
      <c r="F467" s="225"/>
      <c r="G467" s="185"/>
      <c r="H467" s="210">
        <f t="shared" si="8"/>
        <v>98000</v>
      </c>
      <c r="I467" s="76" t="s">
        <v>323</v>
      </c>
      <c r="J467" s="129" t="s">
        <v>2674</v>
      </c>
      <c r="K467" s="188"/>
    </row>
    <row r="468" spans="1:11" ht="15.6">
      <c r="A468" s="227">
        <v>45887</v>
      </c>
      <c r="B468" s="470" t="s">
        <v>2660</v>
      </c>
      <c r="C468" s="470" t="s">
        <v>152</v>
      </c>
      <c r="D468" s="470" t="s">
        <v>121</v>
      </c>
      <c r="E468" s="225">
        <v>10000</v>
      </c>
      <c r="F468" s="225"/>
      <c r="G468" s="185"/>
      <c r="H468" s="210">
        <f t="shared" si="8"/>
        <v>108000</v>
      </c>
      <c r="I468" s="76" t="s">
        <v>323</v>
      </c>
      <c r="J468" s="129" t="s">
        <v>2675</v>
      </c>
      <c r="K468" s="188"/>
    </row>
    <row r="469" spans="1:11" ht="15.6">
      <c r="A469" s="227">
        <v>45887</v>
      </c>
      <c r="B469" s="470" t="s">
        <v>2659</v>
      </c>
      <c r="C469" s="470" t="s">
        <v>152</v>
      </c>
      <c r="D469" s="470" t="s">
        <v>121</v>
      </c>
      <c r="E469" s="225"/>
      <c r="F469" s="225">
        <v>5000</v>
      </c>
      <c r="G469" s="185"/>
      <c r="H469" s="210">
        <f t="shared" si="8"/>
        <v>103000</v>
      </c>
      <c r="I469" s="76" t="s">
        <v>323</v>
      </c>
      <c r="J469" s="129" t="s">
        <v>2674</v>
      </c>
      <c r="K469" s="188"/>
    </row>
    <row r="470" spans="1:11" ht="15.6">
      <c r="A470" s="227">
        <v>45887</v>
      </c>
      <c r="B470" s="470" t="s">
        <v>2660</v>
      </c>
      <c r="C470" s="470" t="s">
        <v>152</v>
      </c>
      <c r="D470" s="470" t="s">
        <v>121</v>
      </c>
      <c r="E470" s="225"/>
      <c r="F470" s="225">
        <v>10000</v>
      </c>
      <c r="G470" s="185"/>
      <c r="H470" s="210">
        <f t="shared" si="8"/>
        <v>93000</v>
      </c>
      <c r="I470" s="76" t="s">
        <v>323</v>
      </c>
      <c r="J470" s="129" t="s">
        <v>2675</v>
      </c>
      <c r="K470" s="188"/>
    </row>
    <row r="471" spans="1:11" ht="15.6">
      <c r="A471" s="227">
        <v>45888</v>
      </c>
      <c r="B471" s="76" t="s">
        <v>3047</v>
      </c>
      <c r="C471" s="76" t="s">
        <v>2456</v>
      </c>
      <c r="D471" s="124" t="s">
        <v>121</v>
      </c>
      <c r="E471" s="225"/>
      <c r="F471" s="225">
        <v>50000</v>
      </c>
      <c r="G471" s="185"/>
      <c r="H471" s="210">
        <f t="shared" si="8"/>
        <v>43000</v>
      </c>
      <c r="I471" s="76" t="s">
        <v>323</v>
      </c>
      <c r="J471" s="76" t="s">
        <v>2676</v>
      </c>
      <c r="K471" s="188"/>
    </row>
    <row r="472" spans="1:11" ht="15.6">
      <c r="A472" s="227">
        <v>45888</v>
      </c>
      <c r="B472" s="76" t="s">
        <v>2661</v>
      </c>
      <c r="C472" s="76" t="s">
        <v>174</v>
      </c>
      <c r="D472" s="124" t="s">
        <v>121</v>
      </c>
      <c r="E472" s="225"/>
      <c r="F472" s="225">
        <v>1000</v>
      </c>
      <c r="G472" s="185"/>
      <c r="H472" s="210">
        <f t="shared" si="8"/>
        <v>42000</v>
      </c>
      <c r="I472" s="76" t="s">
        <v>323</v>
      </c>
      <c r="J472" s="76" t="s">
        <v>2671</v>
      </c>
      <c r="K472" s="188"/>
    </row>
    <row r="473" spans="1:11" ht="15.6">
      <c r="A473" s="227">
        <v>45888</v>
      </c>
      <c r="B473" s="76" t="s">
        <v>2662</v>
      </c>
      <c r="C473" s="76" t="s">
        <v>174</v>
      </c>
      <c r="D473" s="124" t="s">
        <v>121</v>
      </c>
      <c r="E473" s="225"/>
      <c r="F473" s="225">
        <v>1000</v>
      </c>
      <c r="G473" s="185"/>
      <c r="H473" s="210">
        <f t="shared" si="8"/>
        <v>41000</v>
      </c>
      <c r="I473" s="76" t="s">
        <v>323</v>
      </c>
      <c r="J473" s="76" t="s">
        <v>2671</v>
      </c>
      <c r="K473" s="188"/>
    </row>
    <row r="474" spans="1:11" ht="15.6">
      <c r="A474" s="227">
        <v>45889</v>
      </c>
      <c r="B474" s="76" t="s">
        <v>2658</v>
      </c>
      <c r="C474" s="76" t="s">
        <v>124</v>
      </c>
      <c r="D474" s="124" t="s">
        <v>121</v>
      </c>
      <c r="E474" s="225">
        <v>88000</v>
      </c>
      <c r="F474" s="225"/>
      <c r="G474" s="185"/>
      <c r="H474" s="210">
        <f t="shared" si="8"/>
        <v>129000</v>
      </c>
      <c r="I474" s="76" t="s">
        <v>323</v>
      </c>
      <c r="J474" s="76" t="s">
        <v>2677</v>
      </c>
      <c r="K474" s="188"/>
    </row>
    <row r="475" spans="1:11" ht="15.6">
      <c r="A475" s="227">
        <v>45889</v>
      </c>
      <c r="B475" s="76" t="s">
        <v>3112</v>
      </c>
      <c r="C475" s="76" t="s">
        <v>174</v>
      </c>
      <c r="D475" s="124" t="s">
        <v>121</v>
      </c>
      <c r="E475" s="225"/>
      <c r="F475" s="225">
        <v>1000</v>
      </c>
      <c r="G475" s="185"/>
      <c r="H475" s="210">
        <f t="shared" si="8"/>
        <v>128000</v>
      </c>
      <c r="I475" s="76" t="s">
        <v>323</v>
      </c>
      <c r="J475" s="76" t="s">
        <v>2671</v>
      </c>
      <c r="K475" s="188"/>
    </row>
    <row r="476" spans="1:11" ht="15.6">
      <c r="A476" s="227">
        <v>45889</v>
      </c>
      <c r="B476" s="76" t="s">
        <v>3056</v>
      </c>
      <c r="C476" s="76" t="s">
        <v>174</v>
      </c>
      <c r="D476" s="124" t="s">
        <v>121</v>
      </c>
      <c r="E476" s="225"/>
      <c r="F476" s="225">
        <v>1000</v>
      </c>
      <c r="G476" s="185"/>
      <c r="H476" s="210">
        <f t="shared" si="8"/>
        <v>127000</v>
      </c>
      <c r="I476" s="76" t="s">
        <v>323</v>
      </c>
      <c r="J476" s="76" t="s">
        <v>2671</v>
      </c>
      <c r="K476" s="188"/>
    </row>
    <row r="477" spans="1:11" ht="15.6">
      <c r="A477" s="227">
        <v>45889</v>
      </c>
      <c r="B477" s="76" t="s">
        <v>2997</v>
      </c>
      <c r="C477" s="76" t="s">
        <v>174</v>
      </c>
      <c r="D477" s="124" t="s">
        <v>121</v>
      </c>
      <c r="E477" s="225"/>
      <c r="F477" s="225">
        <v>1000</v>
      </c>
      <c r="G477" s="185"/>
      <c r="H477" s="210">
        <f t="shared" si="8"/>
        <v>126000</v>
      </c>
      <c r="I477" s="76" t="s">
        <v>323</v>
      </c>
      <c r="J477" s="76" t="s">
        <v>2671</v>
      </c>
      <c r="K477" s="188"/>
    </row>
    <row r="478" spans="1:11" ht="15.6">
      <c r="A478" s="227">
        <v>45889</v>
      </c>
      <c r="B478" s="76" t="s">
        <v>2663</v>
      </c>
      <c r="C478" s="76" t="s">
        <v>174</v>
      </c>
      <c r="D478" s="124" t="s">
        <v>121</v>
      </c>
      <c r="E478" s="225"/>
      <c r="F478" s="225">
        <v>1000</v>
      </c>
      <c r="G478" s="185"/>
      <c r="H478" s="210">
        <f t="shared" si="8"/>
        <v>125000</v>
      </c>
      <c r="I478" s="76" t="s">
        <v>323</v>
      </c>
      <c r="J478" s="76" t="s">
        <v>2671</v>
      </c>
      <c r="K478" s="188"/>
    </row>
    <row r="479" spans="1:11" ht="15.6">
      <c r="A479" s="227">
        <v>45889</v>
      </c>
      <c r="B479" s="76" t="s">
        <v>2664</v>
      </c>
      <c r="C479" s="76" t="s">
        <v>368</v>
      </c>
      <c r="D479" s="124" t="s">
        <v>121</v>
      </c>
      <c r="E479" s="225"/>
      <c r="F479" s="225">
        <v>1000</v>
      </c>
      <c r="G479" s="185"/>
      <c r="H479" s="210">
        <f t="shared" si="8"/>
        <v>124000</v>
      </c>
      <c r="I479" s="76" t="s">
        <v>323</v>
      </c>
      <c r="J479" s="76" t="s">
        <v>2678</v>
      </c>
      <c r="K479" s="188"/>
    </row>
    <row r="480" spans="1:11" ht="15.6">
      <c r="A480" s="227">
        <v>45889</v>
      </c>
      <c r="B480" s="76" t="s">
        <v>3113</v>
      </c>
      <c r="C480" s="76" t="s">
        <v>174</v>
      </c>
      <c r="D480" s="124" t="s">
        <v>121</v>
      </c>
      <c r="E480" s="225"/>
      <c r="F480" s="225">
        <v>1000</v>
      </c>
      <c r="G480" s="185"/>
      <c r="H480" s="210">
        <f t="shared" si="8"/>
        <v>123000</v>
      </c>
      <c r="I480" s="76" t="s">
        <v>323</v>
      </c>
      <c r="J480" s="76" t="s">
        <v>2671</v>
      </c>
      <c r="K480" s="188"/>
    </row>
    <row r="481" spans="1:11" ht="15.6">
      <c r="A481" s="227">
        <v>45890</v>
      </c>
      <c r="B481" s="76" t="s">
        <v>2665</v>
      </c>
      <c r="C481" s="76" t="s">
        <v>174</v>
      </c>
      <c r="D481" s="124" t="s">
        <v>121</v>
      </c>
      <c r="E481" s="225"/>
      <c r="F481" s="225">
        <v>1000</v>
      </c>
      <c r="G481" s="185"/>
      <c r="H481" s="210">
        <f t="shared" si="8"/>
        <v>122000</v>
      </c>
      <c r="I481" s="76" t="s">
        <v>323</v>
      </c>
      <c r="J481" s="76" t="s">
        <v>2671</v>
      </c>
      <c r="K481" s="188"/>
    </row>
    <row r="482" spans="1:11" ht="15.6">
      <c r="A482" s="227">
        <v>45890</v>
      </c>
      <c r="B482" s="76" t="s">
        <v>2664</v>
      </c>
      <c r="C482" s="76" t="s">
        <v>368</v>
      </c>
      <c r="D482" s="124" t="s">
        <v>121</v>
      </c>
      <c r="E482" s="225"/>
      <c r="F482" s="225">
        <v>1000</v>
      </c>
      <c r="G482" s="185"/>
      <c r="H482" s="210">
        <f t="shared" si="8"/>
        <v>121000</v>
      </c>
      <c r="I482" s="76" t="s">
        <v>323</v>
      </c>
      <c r="J482" s="76" t="s">
        <v>2678</v>
      </c>
      <c r="K482" s="188"/>
    </row>
    <row r="483" spans="1:11" ht="15.6">
      <c r="A483" s="227">
        <v>45890</v>
      </c>
      <c r="B483" s="76" t="s">
        <v>3060</v>
      </c>
      <c r="C483" s="76" t="s">
        <v>174</v>
      </c>
      <c r="D483" s="124" t="s">
        <v>121</v>
      </c>
      <c r="E483" s="225"/>
      <c r="F483" s="225">
        <v>1000</v>
      </c>
      <c r="G483" s="185"/>
      <c r="H483" s="210">
        <f t="shared" si="8"/>
        <v>120000</v>
      </c>
      <c r="I483" s="76" t="s">
        <v>323</v>
      </c>
      <c r="J483" s="76" t="s">
        <v>2671</v>
      </c>
      <c r="K483" s="188"/>
    </row>
    <row r="484" spans="1:11" ht="15.6">
      <c r="A484" s="227">
        <v>45890</v>
      </c>
      <c r="B484" s="76" t="s">
        <v>3060</v>
      </c>
      <c r="C484" s="76" t="s">
        <v>174</v>
      </c>
      <c r="D484" s="124" t="s">
        <v>121</v>
      </c>
      <c r="E484" s="225"/>
      <c r="F484" s="225">
        <v>1000</v>
      </c>
      <c r="G484" s="185"/>
      <c r="H484" s="210">
        <f t="shared" si="8"/>
        <v>119000</v>
      </c>
      <c r="I484" s="76" t="s">
        <v>323</v>
      </c>
      <c r="J484" s="76" t="s">
        <v>2671</v>
      </c>
      <c r="K484" s="188"/>
    </row>
    <row r="485" spans="1:11" ht="15.6">
      <c r="A485" s="227">
        <v>45891</v>
      </c>
      <c r="B485" s="76" t="s">
        <v>3052</v>
      </c>
      <c r="C485" s="76" t="s">
        <v>174</v>
      </c>
      <c r="D485" s="124" t="s">
        <v>121</v>
      </c>
      <c r="E485" s="225"/>
      <c r="F485" s="225">
        <v>1000</v>
      </c>
      <c r="G485" s="185"/>
      <c r="H485" s="210">
        <f t="shared" si="8"/>
        <v>118000</v>
      </c>
      <c r="I485" s="76" t="s">
        <v>323</v>
      </c>
      <c r="J485" s="76" t="s">
        <v>2671</v>
      </c>
      <c r="K485" s="188"/>
    </row>
    <row r="486" spans="1:11" ht="15.6">
      <c r="A486" s="227">
        <v>45891</v>
      </c>
      <c r="B486" s="76" t="s">
        <v>3114</v>
      </c>
      <c r="C486" s="76" t="s">
        <v>174</v>
      </c>
      <c r="D486" s="124" t="s">
        <v>121</v>
      </c>
      <c r="E486" s="225"/>
      <c r="F486" s="225">
        <v>3000</v>
      </c>
      <c r="G486" s="185"/>
      <c r="H486" s="210">
        <f t="shared" si="8"/>
        <v>115000</v>
      </c>
      <c r="I486" s="76" t="s">
        <v>323</v>
      </c>
      <c r="J486" s="129" t="s">
        <v>2679</v>
      </c>
      <c r="K486" s="188"/>
    </row>
    <row r="487" spans="1:11" ht="15.6">
      <c r="A487" s="227">
        <v>45891</v>
      </c>
      <c r="B487" s="76" t="s">
        <v>3115</v>
      </c>
      <c r="C487" s="76" t="s">
        <v>174</v>
      </c>
      <c r="D487" s="124" t="s">
        <v>121</v>
      </c>
      <c r="E487" s="225"/>
      <c r="F487" s="225">
        <v>500</v>
      </c>
      <c r="G487" s="185"/>
      <c r="H487" s="210">
        <f t="shared" si="8"/>
        <v>114500</v>
      </c>
      <c r="I487" s="76" t="s">
        <v>323</v>
      </c>
      <c r="J487" s="76" t="s">
        <v>2671</v>
      </c>
      <c r="K487" s="188"/>
    </row>
    <row r="488" spans="1:11" ht="15.6">
      <c r="A488" s="227">
        <v>45891</v>
      </c>
      <c r="B488" s="76" t="s">
        <v>2997</v>
      </c>
      <c r="C488" s="76" t="s">
        <v>174</v>
      </c>
      <c r="D488" s="124" t="s">
        <v>121</v>
      </c>
      <c r="E488" s="225"/>
      <c r="F488" s="225">
        <v>500</v>
      </c>
      <c r="G488" s="185"/>
      <c r="H488" s="210">
        <f t="shared" si="8"/>
        <v>114000</v>
      </c>
      <c r="I488" s="76" t="s">
        <v>323</v>
      </c>
      <c r="J488" s="76" t="s">
        <v>2671</v>
      </c>
      <c r="K488" s="188"/>
    </row>
    <row r="489" spans="1:11" ht="15.6">
      <c r="A489" s="227">
        <v>45891</v>
      </c>
      <c r="B489" s="76" t="s">
        <v>2664</v>
      </c>
      <c r="C489" s="76" t="s">
        <v>368</v>
      </c>
      <c r="D489" s="124" t="s">
        <v>121</v>
      </c>
      <c r="E489" s="225"/>
      <c r="F489" s="225">
        <v>1000</v>
      </c>
      <c r="G489" s="185"/>
      <c r="H489" s="210">
        <f t="shared" si="8"/>
        <v>113000</v>
      </c>
      <c r="I489" s="76" t="s">
        <v>323</v>
      </c>
      <c r="J489" s="76" t="s">
        <v>2678</v>
      </c>
      <c r="K489" s="188"/>
    </row>
    <row r="490" spans="1:11" ht="15.6">
      <c r="A490" s="227">
        <v>45891</v>
      </c>
      <c r="B490" s="76" t="s">
        <v>2666</v>
      </c>
      <c r="C490" s="76" t="s">
        <v>174</v>
      </c>
      <c r="D490" s="124" t="s">
        <v>121</v>
      </c>
      <c r="E490" s="225"/>
      <c r="F490" s="225">
        <v>500</v>
      </c>
      <c r="G490" s="185"/>
      <c r="H490" s="210">
        <f t="shared" si="8"/>
        <v>112500</v>
      </c>
      <c r="I490" s="76" t="s">
        <v>323</v>
      </c>
      <c r="J490" s="76" t="s">
        <v>2671</v>
      </c>
      <c r="K490" s="188"/>
    </row>
    <row r="491" spans="1:11" ht="15.6">
      <c r="A491" s="227">
        <v>45891</v>
      </c>
      <c r="B491" s="76" t="s">
        <v>3046</v>
      </c>
      <c r="C491" s="76" t="s">
        <v>174</v>
      </c>
      <c r="D491" s="124" t="s">
        <v>121</v>
      </c>
      <c r="E491" s="225"/>
      <c r="F491" s="225">
        <v>3000</v>
      </c>
      <c r="G491" s="185"/>
      <c r="H491" s="210">
        <f t="shared" si="8"/>
        <v>109500</v>
      </c>
      <c r="I491" s="76" t="s">
        <v>323</v>
      </c>
      <c r="J491" s="129" t="s">
        <v>2680</v>
      </c>
      <c r="K491" s="188"/>
    </row>
    <row r="492" spans="1:11" ht="15.6">
      <c r="A492" s="227">
        <v>45891</v>
      </c>
      <c r="B492" s="76" t="s">
        <v>3116</v>
      </c>
      <c r="C492" s="76" t="s">
        <v>174</v>
      </c>
      <c r="D492" s="124" t="s">
        <v>121</v>
      </c>
      <c r="E492" s="225"/>
      <c r="F492" s="225">
        <v>500</v>
      </c>
      <c r="G492" s="185"/>
      <c r="H492" s="210">
        <f t="shared" si="8"/>
        <v>109000</v>
      </c>
      <c r="I492" s="76" t="s">
        <v>323</v>
      </c>
      <c r="J492" s="76" t="s">
        <v>2671</v>
      </c>
      <c r="K492" s="188"/>
    </row>
    <row r="493" spans="1:11" ht="15.6">
      <c r="A493" s="227">
        <v>45892</v>
      </c>
      <c r="B493" s="76" t="s">
        <v>3057</v>
      </c>
      <c r="C493" s="76" t="s">
        <v>174</v>
      </c>
      <c r="D493" s="124" t="s">
        <v>121</v>
      </c>
      <c r="E493" s="225"/>
      <c r="F493" s="225">
        <v>500</v>
      </c>
      <c r="G493" s="185"/>
      <c r="H493" s="210">
        <f t="shared" si="8"/>
        <v>108500</v>
      </c>
      <c r="I493" s="76" t="s">
        <v>323</v>
      </c>
      <c r="J493" s="76" t="s">
        <v>2671</v>
      </c>
      <c r="K493" s="188"/>
    </row>
    <row r="494" spans="1:11" ht="15.6">
      <c r="A494" s="227">
        <v>45892</v>
      </c>
      <c r="B494" s="76" t="s">
        <v>3111</v>
      </c>
      <c r="C494" s="76" t="s">
        <v>174</v>
      </c>
      <c r="D494" s="124" t="s">
        <v>121</v>
      </c>
      <c r="E494" s="225"/>
      <c r="F494" s="225">
        <v>4000</v>
      </c>
      <c r="G494" s="185"/>
      <c r="H494" s="210">
        <f t="shared" si="8"/>
        <v>104500</v>
      </c>
      <c r="I494" s="76" t="s">
        <v>323</v>
      </c>
      <c r="J494" s="129" t="s">
        <v>2681</v>
      </c>
      <c r="K494" s="188"/>
    </row>
    <row r="495" spans="1:11" ht="15.6">
      <c r="A495" s="227">
        <v>45892</v>
      </c>
      <c r="B495" s="76" t="s">
        <v>3060</v>
      </c>
      <c r="C495" s="76" t="s">
        <v>174</v>
      </c>
      <c r="D495" s="124" t="s">
        <v>121</v>
      </c>
      <c r="E495" s="225"/>
      <c r="F495" s="225">
        <v>500</v>
      </c>
      <c r="G495" s="185"/>
      <c r="H495" s="210">
        <f t="shared" si="8"/>
        <v>104000</v>
      </c>
      <c r="I495" s="76" t="s">
        <v>323</v>
      </c>
      <c r="J495" s="76" t="s">
        <v>2671</v>
      </c>
      <c r="K495" s="188"/>
    </row>
    <row r="496" spans="1:11" ht="15.6">
      <c r="A496" s="227">
        <v>45892</v>
      </c>
      <c r="B496" s="76" t="s">
        <v>2664</v>
      </c>
      <c r="C496" s="76" t="s">
        <v>368</v>
      </c>
      <c r="D496" s="124" t="s">
        <v>121</v>
      </c>
      <c r="E496" s="225"/>
      <c r="F496" s="225">
        <v>1000</v>
      </c>
      <c r="G496" s="185"/>
      <c r="H496" s="210">
        <f t="shared" si="8"/>
        <v>103000</v>
      </c>
      <c r="I496" s="76" t="s">
        <v>323</v>
      </c>
      <c r="J496" s="76" t="s">
        <v>2678</v>
      </c>
      <c r="K496" s="188"/>
    </row>
    <row r="497" spans="1:11" ht="15.6">
      <c r="A497" s="227">
        <v>45892</v>
      </c>
      <c r="B497" s="76" t="s">
        <v>3117</v>
      </c>
      <c r="C497" s="76" t="s">
        <v>174</v>
      </c>
      <c r="D497" s="124" t="s">
        <v>121</v>
      </c>
      <c r="E497" s="225"/>
      <c r="F497" s="225">
        <v>500</v>
      </c>
      <c r="G497" s="185"/>
      <c r="H497" s="210">
        <f t="shared" si="8"/>
        <v>102500</v>
      </c>
      <c r="I497" s="76" t="s">
        <v>323</v>
      </c>
      <c r="J497" s="76" t="s">
        <v>2671</v>
      </c>
      <c r="K497" s="188"/>
    </row>
    <row r="498" spans="1:11" ht="15.6">
      <c r="A498" s="227">
        <v>45892</v>
      </c>
      <c r="B498" s="76" t="s">
        <v>2997</v>
      </c>
      <c r="C498" s="76" t="s">
        <v>174</v>
      </c>
      <c r="D498" s="124" t="s">
        <v>121</v>
      </c>
      <c r="E498" s="225"/>
      <c r="F498" s="225">
        <v>500</v>
      </c>
      <c r="G498" s="185"/>
      <c r="H498" s="210">
        <f t="shared" si="8"/>
        <v>102000</v>
      </c>
      <c r="I498" s="76" t="s">
        <v>323</v>
      </c>
      <c r="J498" s="76" t="s">
        <v>2671</v>
      </c>
      <c r="K498" s="188"/>
    </row>
    <row r="499" spans="1:11" ht="15.6">
      <c r="A499" s="227">
        <v>45892</v>
      </c>
      <c r="B499" s="76" t="s">
        <v>3046</v>
      </c>
      <c r="C499" s="76" t="s">
        <v>174</v>
      </c>
      <c r="D499" s="124" t="s">
        <v>121</v>
      </c>
      <c r="E499" s="225"/>
      <c r="F499" s="225">
        <v>4000</v>
      </c>
      <c r="G499" s="185"/>
      <c r="H499" s="210">
        <f t="shared" si="8"/>
        <v>98000</v>
      </c>
      <c r="I499" s="76" t="s">
        <v>323</v>
      </c>
      <c r="J499" s="129" t="s">
        <v>2682</v>
      </c>
      <c r="K499" s="188"/>
    </row>
    <row r="500" spans="1:11" ht="15.6">
      <c r="A500" s="227">
        <v>45892</v>
      </c>
      <c r="B500" s="76" t="s">
        <v>3118</v>
      </c>
      <c r="C500" s="76" t="s">
        <v>174</v>
      </c>
      <c r="D500" s="124" t="s">
        <v>121</v>
      </c>
      <c r="E500" s="225"/>
      <c r="F500" s="225">
        <v>1000</v>
      </c>
      <c r="G500" s="185"/>
      <c r="H500" s="210">
        <f t="shared" si="8"/>
        <v>97000</v>
      </c>
      <c r="I500" s="76" t="s">
        <v>323</v>
      </c>
      <c r="J500" s="76" t="s">
        <v>2671</v>
      </c>
      <c r="K500" s="188"/>
    </row>
    <row r="501" spans="1:11" ht="15.6">
      <c r="A501" s="227">
        <v>45892</v>
      </c>
      <c r="B501" s="76" t="s">
        <v>3111</v>
      </c>
      <c r="C501" s="76" t="s">
        <v>174</v>
      </c>
      <c r="D501" s="124" t="s">
        <v>121</v>
      </c>
      <c r="E501" s="225"/>
      <c r="F501" s="225">
        <v>12000</v>
      </c>
      <c r="G501" s="185"/>
      <c r="H501" s="210">
        <f t="shared" si="8"/>
        <v>85000</v>
      </c>
      <c r="I501" s="76" t="s">
        <v>323</v>
      </c>
      <c r="J501" s="129" t="s">
        <v>2683</v>
      </c>
      <c r="K501" s="188"/>
    </row>
    <row r="502" spans="1:11" ht="15.6">
      <c r="A502" s="227">
        <v>45892</v>
      </c>
      <c r="B502" s="76" t="s">
        <v>3045</v>
      </c>
      <c r="C502" s="76" t="s">
        <v>174</v>
      </c>
      <c r="D502" s="124" t="s">
        <v>121</v>
      </c>
      <c r="E502" s="225"/>
      <c r="F502" s="225">
        <v>1000</v>
      </c>
      <c r="G502" s="185"/>
      <c r="H502" s="210">
        <f t="shared" si="8"/>
        <v>84000</v>
      </c>
      <c r="I502" s="76" t="s">
        <v>323</v>
      </c>
      <c r="J502" s="76" t="s">
        <v>2671</v>
      </c>
      <c r="K502" s="188"/>
    </row>
    <row r="503" spans="1:11" ht="15.6">
      <c r="A503" s="227">
        <v>45893</v>
      </c>
      <c r="B503" s="76" t="s">
        <v>3049</v>
      </c>
      <c r="C503" s="76" t="s">
        <v>2456</v>
      </c>
      <c r="D503" s="124" t="s">
        <v>121</v>
      </c>
      <c r="E503" s="225"/>
      <c r="F503" s="225">
        <v>75000</v>
      </c>
      <c r="G503" s="185"/>
      <c r="H503" s="210">
        <f t="shared" si="8"/>
        <v>9000</v>
      </c>
      <c r="I503" s="76" t="s">
        <v>323</v>
      </c>
      <c r="J503" s="129" t="s">
        <v>2684</v>
      </c>
      <c r="K503" s="188"/>
    </row>
    <row r="504" spans="1:11" ht="15.6">
      <c r="A504" s="227">
        <v>45893</v>
      </c>
      <c r="B504" s="76" t="s">
        <v>3119</v>
      </c>
      <c r="C504" s="76" t="s">
        <v>174</v>
      </c>
      <c r="D504" s="124" t="s">
        <v>121</v>
      </c>
      <c r="E504" s="225"/>
      <c r="F504" s="225">
        <v>1000</v>
      </c>
      <c r="G504" s="185"/>
      <c r="H504" s="210">
        <f t="shared" si="8"/>
        <v>8000</v>
      </c>
      <c r="I504" s="76" t="s">
        <v>323</v>
      </c>
      <c r="J504" s="76" t="s">
        <v>2671</v>
      </c>
      <c r="K504" s="188"/>
    </row>
    <row r="505" spans="1:11" ht="15.6">
      <c r="A505" s="227">
        <v>45893</v>
      </c>
      <c r="B505" s="76" t="s">
        <v>2667</v>
      </c>
      <c r="C505" s="76" t="s">
        <v>174</v>
      </c>
      <c r="D505" s="124" t="s">
        <v>121</v>
      </c>
      <c r="E505" s="225"/>
      <c r="F505" s="225">
        <v>1000</v>
      </c>
      <c r="G505" s="185"/>
      <c r="H505" s="210">
        <f t="shared" si="8"/>
        <v>7000</v>
      </c>
      <c r="I505" s="76" t="s">
        <v>323</v>
      </c>
      <c r="J505" s="76" t="s">
        <v>2671</v>
      </c>
      <c r="K505" s="188"/>
    </row>
    <row r="506" spans="1:11" ht="15.6">
      <c r="A506" s="227">
        <v>45897</v>
      </c>
      <c r="B506" s="76" t="s">
        <v>3063</v>
      </c>
      <c r="C506" s="76" t="s">
        <v>174</v>
      </c>
      <c r="D506" s="76" t="s">
        <v>121</v>
      </c>
      <c r="E506" s="225"/>
      <c r="F506" s="225">
        <v>1000</v>
      </c>
      <c r="G506" s="185"/>
      <c r="H506" s="210">
        <f t="shared" si="8"/>
        <v>6000</v>
      </c>
      <c r="I506" s="76" t="s">
        <v>323</v>
      </c>
      <c r="J506" s="76" t="s">
        <v>2671</v>
      </c>
      <c r="K506" s="188"/>
    </row>
    <row r="507" spans="1:11" ht="15.6">
      <c r="A507" s="227">
        <v>45897</v>
      </c>
      <c r="B507" s="76" t="s">
        <v>3120</v>
      </c>
      <c r="C507" s="76" t="s">
        <v>174</v>
      </c>
      <c r="D507" s="76" t="s">
        <v>121</v>
      </c>
      <c r="E507" s="225"/>
      <c r="F507" s="225">
        <v>1000</v>
      </c>
      <c r="G507" s="185"/>
      <c r="H507" s="210">
        <f t="shared" si="8"/>
        <v>5000</v>
      </c>
      <c r="I507" s="76" t="s">
        <v>323</v>
      </c>
      <c r="J507" s="76" t="s">
        <v>2671</v>
      </c>
      <c r="K507" s="188"/>
    </row>
    <row r="508" spans="1:11" ht="15.6">
      <c r="A508" s="227">
        <v>45897</v>
      </c>
      <c r="B508" s="76" t="s">
        <v>3121</v>
      </c>
      <c r="C508" s="76" t="s">
        <v>174</v>
      </c>
      <c r="D508" s="76" t="s">
        <v>121</v>
      </c>
      <c r="E508" s="225"/>
      <c r="F508" s="225">
        <v>1000</v>
      </c>
      <c r="G508" s="185"/>
      <c r="H508" s="210">
        <f t="shared" si="8"/>
        <v>4000</v>
      </c>
      <c r="I508" s="76" t="s">
        <v>323</v>
      </c>
      <c r="J508" s="76" t="s">
        <v>2671</v>
      </c>
      <c r="K508" s="188"/>
    </row>
    <row r="509" spans="1:11" ht="15.6">
      <c r="A509" s="227">
        <v>45897</v>
      </c>
      <c r="B509" s="76" t="s">
        <v>2668</v>
      </c>
      <c r="C509" s="76" t="s">
        <v>174</v>
      </c>
      <c r="D509" s="76" t="s">
        <v>121</v>
      </c>
      <c r="E509" s="225"/>
      <c r="F509" s="225">
        <v>1000</v>
      </c>
      <c r="G509" s="185"/>
      <c r="H509" s="210">
        <f t="shared" si="8"/>
        <v>3000</v>
      </c>
      <c r="I509" s="76" t="s">
        <v>323</v>
      </c>
      <c r="J509" s="76" t="s">
        <v>2671</v>
      </c>
      <c r="K509" s="188"/>
    </row>
    <row r="510" spans="1:11">
      <c r="A510" s="212"/>
      <c r="B510" s="208"/>
      <c r="C510" s="208"/>
      <c r="D510" s="208"/>
      <c r="E510" s="213">
        <f>SUM(E453:E509)</f>
        <v>223000</v>
      </c>
      <c r="F510" s="213">
        <f>SUM(F453:F509)</f>
        <v>220000</v>
      </c>
      <c r="G510" s="213"/>
      <c r="H510" s="241">
        <f>H452+E510-F510</f>
        <v>3000</v>
      </c>
      <c r="I510" s="208"/>
      <c r="J510" s="208"/>
      <c r="K510" s="208"/>
    </row>
    <row r="511" spans="1:11" ht="15.6">
      <c r="A511" s="190"/>
      <c r="B511" s="188"/>
      <c r="C511" s="191" t="s">
        <v>458</v>
      </c>
      <c r="D511" s="188"/>
      <c r="E511" s="192"/>
      <c r="F511" s="192"/>
      <c r="G511" s="192"/>
      <c r="H511" s="193"/>
      <c r="I511" s="188"/>
      <c r="J511" s="188"/>
      <c r="K511" s="188"/>
    </row>
    <row r="512" spans="1:11" ht="15.6">
      <c r="A512" s="190"/>
      <c r="B512" s="188"/>
      <c r="C512" s="188"/>
      <c r="D512" s="188"/>
      <c r="E512" s="192"/>
      <c r="F512" s="192"/>
      <c r="G512" s="192"/>
      <c r="H512" s="193"/>
      <c r="I512" s="188"/>
      <c r="J512" s="188"/>
      <c r="K512" s="188"/>
    </row>
    <row r="513" spans="1:11" ht="15.6">
      <c r="A513" s="194" t="s">
        <v>0</v>
      </c>
      <c r="B513" s="195" t="s">
        <v>445</v>
      </c>
      <c r="C513" s="195" t="s">
        <v>446</v>
      </c>
      <c r="D513" s="195" t="s">
        <v>447</v>
      </c>
      <c r="E513" s="196" t="s">
        <v>448</v>
      </c>
      <c r="F513" s="196" t="s">
        <v>449</v>
      </c>
      <c r="G513" s="196"/>
      <c r="H513" s="197" t="s">
        <v>30</v>
      </c>
      <c r="I513" s="195" t="s">
        <v>450</v>
      </c>
      <c r="J513" s="195" t="s">
        <v>451</v>
      </c>
      <c r="K513" s="198"/>
    </row>
    <row r="514" spans="1:11" ht="15.6">
      <c r="A514" s="148">
        <v>45870</v>
      </c>
      <c r="B514" s="182" t="s">
        <v>2884</v>
      </c>
      <c r="C514" s="182"/>
      <c r="D514" s="182"/>
      <c r="E514" s="185"/>
      <c r="F514" s="185"/>
      <c r="G514" s="185"/>
      <c r="H514" s="214">
        <v>9950</v>
      </c>
      <c r="I514" s="182" t="s">
        <v>190</v>
      </c>
      <c r="J514" s="182"/>
      <c r="K514" s="188"/>
    </row>
    <row r="515" spans="1:11" ht="15.6">
      <c r="A515" s="415">
        <v>45887</v>
      </c>
      <c r="B515" s="226" t="s">
        <v>2685</v>
      </c>
      <c r="C515" s="226" t="s">
        <v>174</v>
      </c>
      <c r="D515" s="226" t="s">
        <v>117</v>
      </c>
      <c r="E515" s="318"/>
      <c r="F515" s="319">
        <v>500</v>
      </c>
      <c r="G515" s="224"/>
      <c r="H515" s="228">
        <f t="shared" ref="H515:H548" si="9">+H514+E515-F515</f>
        <v>9450</v>
      </c>
      <c r="I515" s="226" t="s">
        <v>190</v>
      </c>
      <c r="J515" s="226" t="s">
        <v>2707</v>
      </c>
      <c r="K515" s="188"/>
    </row>
    <row r="516" spans="1:11" ht="15.6">
      <c r="A516" s="415">
        <v>45887</v>
      </c>
      <c r="B516" s="226" t="s">
        <v>2686</v>
      </c>
      <c r="C516" s="226" t="s">
        <v>174</v>
      </c>
      <c r="D516" s="226" t="s">
        <v>117</v>
      </c>
      <c r="E516" s="318"/>
      <c r="F516" s="319">
        <v>500</v>
      </c>
      <c r="G516" s="224"/>
      <c r="H516" s="228">
        <f t="shared" si="9"/>
        <v>8950</v>
      </c>
      <c r="I516" s="226" t="s">
        <v>190</v>
      </c>
      <c r="J516" s="226" t="s">
        <v>2707</v>
      </c>
      <c r="K516" s="188"/>
    </row>
    <row r="517" spans="1:11" ht="15.6">
      <c r="A517" s="472">
        <v>45887</v>
      </c>
      <c r="B517" s="184" t="s">
        <v>2370</v>
      </c>
      <c r="C517" s="226" t="s">
        <v>182</v>
      </c>
      <c r="D517" s="226" t="s">
        <v>2241</v>
      </c>
      <c r="E517" s="342">
        <v>32940</v>
      </c>
      <c r="F517" s="319"/>
      <c r="G517" s="224"/>
      <c r="H517" s="228">
        <f t="shared" si="9"/>
        <v>41890</v>
      </c>
      <c r="I517" s="226" t="s">
        <v>190</v>
      </c>
      <c r="J517" s="184" t="s">
        <v>2371</v>
      </c>
      <c r="K517" s="188"/>
    </row>
    <row r="518" spans="1:11" ht="15.6">
      <c r="A518" s="472">
        <v>45887</v>
      </c>
      <c r="B518" s="184" t="s">
        <v>2370</v>
      </c>
      <c r="C518" s="226" t="s">
        <v>182</v>
      </c>
      <c r="D518" s="226" t="s">
        <v>118</v>
      </c>
      <c r="E518" s="318"/>
      <c r="F518" s="342">
        <v>32940</v>
      </c>
      <c r="G518" s="224"/>
      <c r="H518" s="228">
        <f t="shared" si="9"/>
        <v>8950</v>
      </c>
      <c r="I518" s="226" t="s">
        <v>190</v>
      </c>
      <c r="J518" s="184" t="s">
        <v>2371</v>
      </c>
      <c r="K518" s="188"/>
    </row>
    <row r="519" spans="1:11" ht="15.6">
      <c r="A519" s="415">
        <v>45887</v>
      </c>
      <c r="B519" s="226" t="s">
        <v>2687</v>
      </c>
      <c r="C519" s="226" t="s">
        <v>152</v>
      </c>
      <c r="D519" s="226" t="s">
        <v>117</v>
      </c>
      <c r="E519" s="318">
        <v>5000</v>
      </c>
      <c r="F519" s="319"/>
      <c r="G519" s="224"/>
      <c r="H519" s="228">
        <f t="shared" si="9"/>
        <v>13950</v>
      </c>
      <c r="I519" s="226" t="s">
        <v>190</v>
      </c>
      <c r="J519" s="226" t="s">
        <v>2708</v>
      </c>
      <c r="K519" s="188"/>
    </row>
    <row r="520" spans="1:11" ht="15.6">
      <c r="A520" s="415">
        <v>45887</v>
      </c>
      <c r="B520" s="226" t="s">
        <v>2688</v>
      </c>
      <c r="C520" s="226" t="s">
        <v>152</v>
      </c>
      <c r="D520" s="226" t="s">
        <v>117</v>
      </c>
      <c r="E520" s="318">
        <v>5000</v>
      </c>
      <c r="F520" s="319"/>
      <c r="G520" s="224"/>
      <c r="H520" s="228">
        <f t="shared" si="9"/>
        <v>18950</v>
      </c>
      <c r="I520" s="226" t="s">
        <v>190</v>
      </c>
      <c r="J520" s="226" t="s">
        <v>2709</v>
      </c>
      <c r="K520" s="188"/>
    </row>
    <row r="521" spans="1:11" ht="15.6">
      <c r="A521" s="415">
        <v>45887</v>
      </c>
      <c r="B521" s="226" t="s">
        <v>2687</v>
      </c>
      <c r="C521" s="226" t="s">
        <v>152</v>
      </c>
      <c r="D521" s="226" t="s">
        <v>117</v>
      </c>
      <c r="E521" s="318"/>
      <c r="F521" s="319">
        <v>5000</v>
      </c>
      <c r="G521" s="224"/>
      <c r="H521" s="228">
        <f t="shared" si="9"/>
        <v>13950</v>
      </c>
      <c r="I521" s="226" t="s">
        <v>190</v>
      </c>
      <c r="J521" s="226" t="s">
        <v>2708</v>
      </c>
      <c r="K521" s="188"/>
    </row>
    <row r="522" spans="1:11" ht="15.6">
      <c r="A522" s="415">
        <v>45887</v>
      </c>
      <c r="B522" s="226" t="s">
        <v>2688</v>
      </c>
      <c r="C522" s="226" t="s">
        <v>152</v>
      </c>
      <c r="D522" s="226" t="s">
        <v>117</v>
      </c>
      <c r="E522" s="318"/>
      <c r="F522" s="319">
        <v>5000</v>
      </c>
      <c r="G522" s="224"/>
      <c r="H522" s="228">
        <f t="shared" si="9"/>
        <v>8950</v>
      </c>
      <c r="I522" s="226" t="s">
        <v>190</v>
      </c>
      <c r="J522" s="226" t="s">
        <v>2709</v>
      </c>
      <c r="K522" s="188"/>
    </row>
    <row r="523" spans="1:11" ht="15.6">
      <c r="A523" s="415">
        <v>45888</v>
      </c>
      <c r="B523" s="226" t="s">
        <v>2689</v>
      </c>
      <c r="C523" s="318" t="s">
        <v>124</v>
      </c>
      <c r="D523" s="226" t="s">
        <v>117</v>
      </c>
      <c r="E523" s="318">
        <v>92500</v>
      </c>
      <c r="F523" s="319"/>
      <c r="G523" s="224"/>
      <c r="H523" s="228">
        <f t="shared" si="9"/>
        <v>101450</v>
      </c>
      <c r="I523" s="226" t="s">
        <v>190</v>
      </c>
      <c r="J523" s="226" t="s">
        <v>2710</v>
      </c>
      <c r="K523" s="188"/>
    </row>
    <row r="524" spans="1:11" ht="15.6">
      <c r="A524" s="415">
        <v>45888</v>
      </c>
      <c r="B524" s="226" t="s">
        <v>2690</v>
      </c>
      <c r="C524" s="226" t="s">
        <v>174</v>
      </c>
      <c r="D524" s="226" t="s">
        <v>117</v>
      </c>
      <c r="E524" s="318"/>
      <c r="F524" s="319">
        <v>9000</v>
      </c>
      <c r="G524" s="224"/>
      <c r="H524" s="228">
        <f t="shared" si="9"/>
        <v>92450</v>
      </c>
      <c r="I524" s="226" t="s">
        <v>190</v>
      </c>
      <c r="J524" s="226" t="s">
        <v>2711</v>
      </c>
      <c r="K524" s="188"/>
    </row>
    <row r="525" spans="1:11" ht="15.6">
      <c r="A525" s="415">
        <v>45889</v>
      </c>
      <c r="B525" s="226" t="s">
        <v>2691</v>
      </c>
      <c r="C525" s="226" t="s">
        <v>2456</v>
      </c>
      <c r="D525" s="226" t="s">
        <v>117</v>
      </c>
      <c r="E525" s="318"/>
      <c r="F525" s="319">
        <v>20000</v>
      </c>
      <c r="G525" s="224"/>
      <c r="H525" s="228">
        <f t="shared" si="9"/>
        <v>72450</v>
      </c>
      <c r="I525" s="226" t="s">
        <v>190</v>
      </c>
      <c r="J525" s="226" t="s">
        <v>2712</v>
      </c>
      <c r="K525" s="188"/>
    </row>
    <row r="526" spans="1:11" ht="15.6">
      <c r="A526" s="415">
        <v>45889</v>
      </c>
      <c r="B526" s="226" t="s">
        <v>2692</v>
      </c>
      <c r="C526" s="226" t="s">
        <v>174</v>
      </c>
      <c r="D526" s="226" t="s">
        <v>117</v>
      </c>
      <c r="E526" s="318"/>
      <c r="F526" s="319">
        <v>1000</v>
      </c>
      <c r="G526" s="224"/>
      <c r="H526" s="228">
        <f t="shared" si="9"/>
        <v>71450</v>
      </c>
      <c r="I526" s="226" t="s">
        <v>190</v>
      </c>
      <c r="J526" s="226" t="s">
        <v>2707</v>
      </c>
      <c r="K526" s="188"/>
    </row>
    <row r="527" spans="1:11" ht="15.6">
      <c r="A527" s="415">
        <v>45889</v>
      </c>
      <c r="B527" s="226" t="s">
        <v>2693</v>
      </c>
      <c r="C527" s="226" t="s">
        <v>174</v>
      </c>
      <c r="D527" s="226" t="s">
        <v>117</v>
      </c>
      <c r="E527" s="318"/>
      <c r="F527" s="319">
        <v>1000</v>
      </c>
      <c r="G527" s="224"/>
      <c r="H527" s="228">
        <f t="shared" si="9"/>
        <v>70450</v>
      </c>
      <c r="I527" s="226" t="s">
        <v>190</v>
      </c>
      <c r="J527" s="226" t="s">
        <v>2707</v>
      </c>
      <c r="K527" s="188"/>
    </row>
    <row r="528" spans="1:11" ht="15.6">
      <c r="A528" s="415">
        <v>45889</v>
      </c>
      <c r="B528" s="226" t="s">
        <v>2694</v>
      </c>
      <c r="C528" s="226" t="s">
        <v>174</v>
      </c>
      <c r="D528" s="226" t="s">
        <v>117</v>
      </c>
      <c r="E528" s="318"/>
      <c r="F528" s="319">
        <v>1000</v>
      </c>
      <c r="G528" s="224"/>
      <c r="H528" s="228">
        <f t="shared" si="9"/>
        <v>69450</v>
      </c>
      <c r="I528" s="226" t="s">
        <v>190</v>
      </c>
      <c r="J528" s="226" t="s">
        <v>2707</v>
      </c>
      <c r="K528" s="188"/>
    </row>
    <row r="529" spans="1:11" ht="15.6">
      <c r="A529" s="415">
        <v>45889</v>
      </c>
      <c r="B529" s="226" t="s">
        <v>2695</v>
      </c>
      <c r="C529" s="226" t="s">
        <v>2696</v>
      </c>
      <c r="D529" s="226" t="s">
        <v>117</v>
      </c>
      <c r="E529" s="318"/>
      <c r="F529" s="319">
        <v>7500</v>
      </c>
      <c r="G529" s="224"/>
      <c r="H529" s="228">
        <f t="shared" si="9"/>
        <v>61950</v>
      </c>
      <c r="I529" s="226" t="s">
        <v>190</v>
      </c>
      <c r="J529" s="226" t="s">
        <v>2713</v>
      </c>
      <c r="K529" s="188"/>
    </row>
    <row r="530" spans="1:11" ht="15.6">
      <c r="A530" s="415">
        <v>45889</v>
      </c>
      <c r="B530" s="226" t="s">
        <v>2697</v>
      </c>
      <c r="C530" s="226" t="s">
        <v>174</v>
      </c>
      <c r="D530" s="226" t="s">
        <v>117</v>
      </c>
      <c r="E530" s="318"/>
      <c r="F530" s="319">
        <v>1000</v>
      </c>
      <c r="G530" s="224"/>
      <c r="H530" s="228">
        <f t="shared" si="9"/>
        <v>60950</v>
      </c>
      <c r="I530" s="226" t="s">
        <v>190</v>
      </c>
      <c r="J530" s="226" t="s">
        <v>2707</v>
      </c>
      <c r="K530" s="188"/>
    </row>
    <row r="531" spans="1:11" ht="15.6">
      <c r="A531" s="415">
        <v>45890</v>
      </c>
      <c r="B531" s="226" t="s">
        <v>2698</v>
      </c>
      <c r="C531" s="226" t="s">
        <v>174</v>
      </c>
      <c r="D531" s="226" t="s">
        <v>117</v>
      </c>
      <c r="E531" s="318"/>
      <c r="F531" s="319">
        <v>1000</v>
      </c>
      <c r="G531" s="224"/>
      <c r="H531" s="228">
        <f t="shared" si="9"/>
        <v>59950</v>
      </c>
      <c r="I531" s="226" t="s">
        <v>190</v>
      </c>
      <c r="J531" s="226" t="s">
        <v>2707</v>
      </c>
      <c r="K531" s="188"/>
    </row>
    <row r="532" spans="1:11" ht="15.6">
      <c r="A532" s="415">
        <v>45890</v>
      </c>
      <c r="B532" s="226" t="s">
        <v>2699</v>
      </c>
      <c r="C532" s="226" t="s">
        <v>2696</v>
      </c>
      <c r="D532" s="226" t="s">
        <v>117</v>
      </c>
      <c r="E532" s="318"/>
      <c r="F532" s="319">
        <v>7500</v>
      </c>
      <c r="G532" s="224"/>
      <c r="H532" s="228">
        <f t="shared" si="9"/>
        <v>52450</v>
      </c>
      <c r="I532" s="226" t="s">
        <v>190</v>
      </c>
      <c r="J532" s="226" t="s">
        <v>2713</v>
      </c>
      <c r="K532" s="188"/>
    </row>
    <row r="533" spans="1:11" ht="15.6">
      <c r="A533" s="415">
        <v>45890</v>
      </c>
      <c r="B533" s="226" t="s">
        <v>2697</v>
      </c>
      <c r="C533" s="226" t="s">
        <v>174</v>
      </c>
      <c r="D533" s="226" t="s">
        <v>117</v>
      </c>
      <c r="E533" s="318"/>
      <c r="F533" s="319">
        <v>1000</v>
      </c>
      <c r="G533" s="224"/>
      <c r="H533" s="228">
        <f t="shared" si="9"/>
        <v>51450</v>
      </c>
      <c r="I533" s="226" t="s">
        <v>190</v>
      </c>
      <c r="J533" s="226" t="s">
        <v>2707</v>
      </c>
      <c r="K533" s="188"/>
    </row>
    <row r="534" spans="1:11" ht="15.6">
      <c r="A534" s="415">
        <v>45890</v>
      </c>
      <c r="B534" s="226" t="s">
        <v>2698</v>
      </c>
      <c r="C534" s="226" t="s">
        <v>174</v>
      </c>
      <c r="D534" s="226" t="s">
        <v>117</v>
      </c>
      <c r="E534" s="318"/>
      <c r="F534" s="319">
        <v>1000</v>
      </c>
      <c r="G534" s="224"/>
      <c r="H534" s="228">
        <f t="shared" si="9"/>
        <v>50450</v>
      </c>
      <c r="I534" s="226" t="s">
        <v>190</v>
      </c>
      <c r="J534" s="226" t="s">
        <v>2707</v>
      </c>
      <c r="K534" s="188"/>
    </row>
    <row r="535" spans="1:11" ht="15.6">
      <c r="A535" s="415">
        <v>45890</v>
      </c>
      <c r="B535" s="226" t="s">
        <v>2700</v>
      </c>
      <c r="C535" s="226" t="s">
        <v>2696</v>
      </c>
      <c r="D535" s="226" t="s">
        <v>117</v>
      </c>
      <c r="E535" s="318"/>
      <c r="F535" s="319">
        <v>7500</v>
      </c>
      <c r="G535" s="224"/>
      <c r="H535" s="228">
        <f t="shared" si="9"/>
        <v>42950</v>
      </c>
      <c r="I535" s="226" t="s">
        <v>190</v>
      </c>
      <c r="J535" s="226" t="s">
        <v>2713</v>
      </c>
      <c r="K535" s="188"/>
    </row>
    <row r="536" spans="1:11" ht="15.6">
      <c r="A536" s="415">
        <v>45890</v>
      </c>
      <c r="B536" s="226" t="s">
        <v>2701</v>
      </c>
      <c r="C536" s="226" t="s">
        <v>174</v>
      </c>
      <c r="D536" s="226" t="s">
        <v>117</v>
      </c>
      <c r="E536" s="318"/>
      <c r="F536" s="319">
        <v>1000</v>
      </c>
      <c r="G536" s="224"/>
      <c r="H536" s="228">
        <f t="shared" si="9"/>
        <v>41950</v>
      </c>
      <c r="I536" s="226" t="s">
        <v>190</v>
      </c>
      <c r="J536" s="226" t="s">
        <v>2707</v>
      </c>
      <c r="K536" s="188"/>
    </row>
    <row r="537" spans="1:11" ht="15.6">
      <c r="A537" s="415">
        <v>45891</v>
      </c>
      <c r="B537" s="226" t="s">
        <v>1069</v>
      </c>
      <c r="C537" s="226" t="s">
        <v>174</v>
      </c>
      <c r="D537" s="226" t="s">
        <v>117</v>
      </c>
      <c r="E537" s="318"/>
      <c r="F537" s="319">
        <v>8000</v>
      </c>
      <c r="G537" s="224"/>
      <c r="H537" s="228">
        <f t="shared" si="9"/>
        <v>33950</v>
      </c>
      <c r="I537" s="226" t="s">
        <v>190</v>
      </c>
      <c r="J537" s="226" t="s">
        <v>2714</v>
      </c>
      <c r="K537" s="188"/>
    </row>
    <row r="538" spans="1:11" ht="15.6">
      <c r="A538" s="415">
        <v>45890</v>
      </c>
      <c r="B538" s="226" t="s">
        <v>2693</v>
      </c>
      <c r="C538" s="226" t="s">
        <v>174</v>
      </c>
      <c r="D538" s="226" t="s">
        <v>117</v>
      </c>
      <c r="E538" s="318"/>
      <c r="F538" s="319">
        <v>1000</v>
      </c>
      <c r="G538" s="224"/>
      <c r="H538" s="228">
        <f t="shared" si="9"/>
        <v>32950</v>
      </c>
      <c r="I538" s="226" t="s">
        <v>190</v>
      </c>
      <c r="J538" s="226" t="s">
        <v>2707</v>
      </c>
      <c r="K538" s="188"/>
    </row>
    <row r="539" spans="1:11" ht="15.6">
      <c r="A539" s="415">
        <v>45891</v>
      </c>
      <c r="B539" s="226" t="s">
        <v>2702</v>
      </c>
      <c r="C539" s="226" t="s">
        <v>2456</v>
      </c>
      <c r="D539" s="226" t="s">
        <v>117</v>
      </c>
      <c r="E539" s="318"/>
      <c r="F539" s="319">
        <v>30000</v>
      </c>
      <c r="G539" s="224"/>
      <c r="H539" s="228">
        <f t="shared" si="9"/>
        <v>2950</v>
      </c>
      <c r="I539" s="226" t="s">
        <v>190</v>
      </c>
      <c r="J539" s="226" t="s">
        <v>2715</v>
      </c>
      <c r="K539" s="188"/>
    </row>
    <row r="540" spans="1:11" ht="15.6">
      <c r="A540" s="415">
        <v>45891</v>
      </c>
      <c r="B540" s="226" t="s">
        <v>2703</v>
      </c>
      <c r="C540" s="226" t="s">
        <v>174</v>
      </c>
      <c r="D540" s="226" t="s">
        <v>117</v>
      </c>
      <c r="E540" s="318"/>
      <c r="F540" s="319">
        <v>1000</v>
      </c>
      <c r="G540" s="224"/>
      <c r="H540" s="228">
        <f t="shared" si="9"/>
        <v>1950</v>
      </c>
      <c r="I540" s="226" t="s">
        <v>190</v>
      </c>
      <c r="J540" s="226" t="s">
        <v>2707</v>
      </c>
      <c r="K540" s="188"/>
    </row>
    <row r="541" spans="1:11" ht="15.6">
      <c r="A541" s="415">
        <v>45891</v>
      </c>
      <c r="B541" s="226" t="s">
        <v>2704</v>
      </c>
      <c r="C541" s="226" t="s">
        <v>174</v>
      </c>
      <c r="D541" s="226" t="s">
        <v>117</v>
      </c>
      <c r="E541" s="318"/>
      <c r="F541" s="319">
        <v>2000</v>
      </c>
      <c r="G541" s="224"/>
      <c r="H541" s="228">
        <f t="shared" si="9"/>
        <v>-50</v>
      </c>
      <c r="I541" s="226" t="s">
        <v>190</v>
      </c>
      <c r="J541" s="226" t="s">
        <v>2707</v>
      </c>
      <c r="K541" s="188"/>
    </row>
    <row r="542" spans="1:11" ht="15.6">
      <c r="A542" s="472">
        <v>45895</v>
      </c>
      <c r="B542" s="184" t="s">
        <v>2418</v>
      </c>
      <c r="C542" s="226" t="s">
        <v>172</v>
      </c>
      <c r="D542" s="226" t="s">
        <v>2241</v>
      </c>
      <c r="E542" s="318">
        <v>25000</v>
      </c>
      <c r="F542" s="319"/>
      <c r="G542" s="224"/>
      <c r="H542" s="228">
        <f t="shared" si="9"/>
        <v>24950</v>
      </c>
      <c r="I542" s="226" t="s">
        <v>190</v>
      </c>
      <c r="J542" s="184" t="s">
        <v>2419</v>
      </c>
      <c r="K542" s="188"/>
    </row>
    <row r="543" spans="1:11" ht="15.6">
      <c r="A543" s="472">
        <v>45895</v>
      </c>
      <c r="B543" s="184" t="s">
        <v>2418</v>
      </c>
      <c r="C543" s="226" t="s">
        <v>172</v>
      </c>
      <c r="D543" s="226" t="s">
        <v>2241</v>
      </c>
      <c r="E543" s="318"/>
      <c r="F543" s="319">
        <v>25000</v>
      </c>
      <c r="G543" s="224"/>
      <c r="H543" s="228">
        <f t="shared" si="9"/>
        <v>-50</v>
      </c>
      <c r="I543" s="226" t="s">
        <v>190</v>
      </c>
      <c r="J543" s="184" t="s">
        <v>2419</v>
      </c>
      <c r="K543" s="188"/>
    </row>
    <row r="544" spans="1:11" ht="15.6">
      <c r="A544" s="415">
        <v>45898</v>
      </c>
      <c r="B544" s="226" t="s">
        <v>2705</v>
      </c>
      <c r="C544" s="226" t="s">
        <v>174</v>
      </c>
      <c r="D544" s="226" t="s">
        <v>117</v>
      </c>
      <c r="E544" s="318"/>
      <c r="F544" s="319">
        <v>500</v>
      </c>
      <c r="G544" s="224"/>
      <c r="H544" s="228">
        <f t="shared" si="9"/>
        <v>-550</v>
      </c>
      <c r="I544" s="226" t="s">
        <v>190</v>
      </c>
      <c r="J544" s="226" t="s">
        <v>2707</v>
      </c>
      <c r="K544" s="188"/>
    </row>
    <row r="545" spans="1:11" ht="15.6">
      <c r="A545" s="415">
        <v>45898</v>
      </c>
      <c r="B545" s="226" t="s">
        <v>2706</v>
      </c>
      <c r="C545" s="226" t="s">
        <v>174</v>
      </c>
      <c r="D545" s="226" t="s">
        <v>117</v>
      </c>
      <c r="E545" s="318"/>
      <c r="F545" s="319">
        <v>500</v>
      </c>
      <c r="G545" s="224"/>
      <c r="H545" s="228">
        <f t="shared" si="9"/>
        <v>-1050</v>
      </c>
      <c r="I545" s="226" t="s">
        <v>190</v>
      </c>
      <c r="J545" s="226" t="s">
        <v>2707</v>
      </c>
      <c r="K545" s="188"/>
    </row>
    <row r="546" spans="1:11" ht="15.6">
      <c r="A546" s="472">
        <v>45898</v>
      </c>
      <c r="B546" s="184" t="s">
        <v>2416</v>
      </c>
      <c r="C546" s="226" t="s">
        <v>182</v>
      </c>
      <c r="D546" s="226" t="s">
        <v>118</v>
      </c>
      <c r="E546" s="342">
        <v>8250</v>
      </c>
      <c r="F546" s="319"/>
      <c r="G546" s="224"/>
      <c r="H546" s="228">
        <f t="shared" si="9"/>
        <v>7200</v>
      </c>
      <c r="I546" s="226" t="s">
        <v>190</v>
      </c>
      <c r="J546" s="184" t="s">
        <v>2442</v>
      </c>
      <c r="K546" s="188"/>
    </row>
    <row r="547" spans="1:11" ht="15.6">
      <c r="A547" s="472">
        <v>45898</v>
      </c>
      <c r="B547" s="184" t="s">
        <v>2416</v>
      </c>
      <c r="C547" s="226" t="s">
        <v>182</v>
      </c>
      <c r="D547" s="226" t="s">
        <v>118</v>
      </c>
      <c r="E547" s="318"/>
      <c r="F547" s="342">
        <v>8250</v>
      </c>
      <c r="G547" s="224"/>
      <c r="H547" s="228">
        <f t="shared" si="9"/>
        <v>-1050</v>
      </c>
      <c r="I547" s="226" t="s">
        <v>190</v>
      </c>
      <c r="J547" s="184" t="s">
        <v>2442</v>
      </c>
      <c r="K547" s="188"/>
    </row>
    <row r="548" spans="1:11" ht="15.6">
      <c r="A548" s="415">
        <v>45898</v>
      </c>
      <c r="B548" s="226" t="s">
        <v>2689</v>
      </c>
      <c r="C548" s="318" t="s">
        <v>124</v>
      </c>
      <c r="D548" s="226" t="s">
        <v>117</v>
      </c>
      <c r="E548" s="318">
        <v>20000</v>
      </c>
      <c r="F548" s="319"/>
      <c r="G548" s="224"/>
      <c r="H548" s="228">
        <f t="shared" si="9"/>
        <v>18950</v>
      </c>
      <c r="I548" s="226" t="s">
        <v>190</v>
      </c>
      <c r="J548" s="226" t="s">
        <v>2716</v>
      </c>
      <c r="K548" s="188"/>
    </row>
    <row r="549" spans="1:11" ht="15.6">
      <c r="A549" s="183"/>
      <c r="B549" s="208"/>
      <c r="C549" s="208"/>
      <c r="D549" s="208"/>
      <c r="E549" s="151">
        <f>SUM(E515:E548)</f>
        <v>188690</v>
      </c>
      <c r="F549" s="151">
        <f>SUM(F515:F548)</f>
        <v>179690</v>
      </c>
      <c r="G549" s="151"/>
      <c r="H549" s="211">
        <f>E549-F549+H514</f>
        <v>18950</v>
      </c>
      <c r="I549" s="188"/>
      <c r="J549" s="188"/>
      <c r="K549" s="188"/>
    </row>
    <row r="550" spans="1:11" ht="15.6">
      <c r="A550" s="183"/>
      <c r="B550" s="208"/>
      <c r="C550" s="208"/>
      <c r="D550" s="208"/>
      <c r="E550" s="215"/>
      <c r="F550" s="192"/>
      <c r="G550" s="192"/>
      <c r="H550" s="211"/>
      <c r="I550" s="188"/>
      <c r="J550" s="188"/>
      <c r="K550" s="188"/>
    </row>
    <row r="551" spans="1:11" ht="15.6">
      <c r="A551" s="183"/>
      <c r="B551" s="208"/>
      <c r="C551" s="208"/>
      <c r="D551" s="208"/>
      <c r="E551" s="215"/>
      <c r="F551" s="192"/>
      <c r="G551" s="192"/>
      <c r="H551" s="211"/>
      <c r="I551" s="188"/>
      <c r="J551" s="188"/>
      <c r="K551" s="188"/>
    </row>
    <row r="552" spans="1:11" ht="15.6">
      <c r="A552" s="183"/>
      <c r="B552" s="558" t="s">
        <v>2188</v>
      </c>
      <c r="C552" s="558"/>
      <c r="D552" s="558"/>
      <c r="E552" s="558"/>
      <c r="F552" s="192"/>
      <c r="G552" s="192"/>
      <c r="H552" s="211"/>
      <c r="I552" s="188"/>
      <c r="J552" s="188"/>
      <c r="K552" s="188"/>
    </row>
    <row r="553" spans="1:11" ht="15.6">
      <c r="A553" s="190"/>
      <c r="B553" s="188"/>
      <c r="C553" s="188"/>
      <c r="D553" s="188"/>
      <c r="E553" s="192"/>
      <c r="F553" s="192"/>
      <c r="G553" s="192"/>
      <c r="H553" s="193"/>
      <c r="I553" s="188"/>
      <c r="J553" s="188"/>
      <c r="K553" s="188"/>
    </row>
    <row r="554" spans="1:11" ht="15.6">
      <c r="A554" s="194" t="s">
        <v>0</v>
      </c>
      <c r="B554" s="195" t="s">
        <v>445</v>
      </c>
      <c r="C554" s="195" t="s">
        <v>446</v>
      </c>
      <c r="D554" s="195" t="s">
        <v>447</v>
      </c>
      <c r="E554" s="196" t="s">
        <v>448</v>
      </c>
      <c r="F554" s="196" t="s">
        <v>449</v>
      </c>
      <c r="G554" s="196"/>
      <c r="H554" s="203" t="s">
        <v>30</v>
      </c>
      <c r="I554" s="195" t="s">
        <v>450</v>
      </c>
      <c r="J554" s="195" t="s">
        <v>451</v>
      </c>
      <c r="K554" s="198"/>
    </row>
    <row r="555" spans="1:11" ht="15.6">
      <c r="A555" s="148">
        <v>45870</v>
      </c>
      <c r="B555" s="182" t="s">
        <v>2883</v>
      </c>
      <c r="C555" s="182"/>
      <c r="D555" s="182"/>
      <c r="E555" s="185"/>
      <c r="F555" s="185"/>
      <c r="G555" s="254"/>
      <c r="H555" s="181">
        <v>5900</v>
      </c>
      <c r="I555" s="182" t="s">
        <v>193</v>
      </c>
      <c r="J555" s="182"/>
      <c r="K555" s="188"/>
    </row>
    <row r="556" spans="1:11" ht="15.6">
      <c r="A556" s="481">
        <v>45887</v>
      </c>
      <c r="B556" s="76" t="s">
        <v>459</v>
      </c>
      <c r="C556" s="225" t="s">
        <v>124</v>
      </c>
      <c r="D556" s="76" t="s">
        <v>117</v>
      </c>
      <c r="E556" s="223">
        <v>78500</v>
      </c>
      <c r="F556" s="224"/>
      <c r="G556" s="254"/>
      <c r="H556" s="473">
        <f>H555+E556-F556</f>
        <v>84400</v>
      </c>
      <c r="I556" s="76" t="s">
        <v>193</v>
      </c>
      <c r="J556" s="76" t="s">
        <v>2752</v>
      </c>
      <c r="K556" s="188"/>
    </row>
    <row r="557" spans="1:11" ht="15.6">
      <c r="A557" s="481">
        <v>45887</v>
      </c>
      <c r="B557" s="474" t="s">
        <v>2717</v>
      </c>
      <c r="C557" s="474" t="s">
        <v>174</v>
      </c>
      <c r="D557" s="474" t="s">
        <v>117</v>
      </c>
      <c r="E557" s="475"/>
      <c r="F557" s="476">
        <v>1000</v>
      </c>
      <c r="G557" s="254"/>
      <c r="H557" s="473">
        <f t="shared" ref="H557:H605" si="10">H556+E557-F557</f>
        <v>83400</v>
      </c>
      <c r="I557" s="474" t="s">
        <v>193</v>
      </c>
      <c r="J557" s="474" t="s">
        <v>2753</v>
      </c>
      <c r="K557" s="188"/>
    </row>
    <row r="558" spans="1:11" ht="15.6">
      <c r="A558" s="481">
        <v>45887</v>
      </c>
      <c r="B558" s="76" t="s">
        <v>2718</v>
      </c>
      <c r="C558" s="76" t="s">
        <v>174</v>
      </c>
      <c r="D558" s="76" t="s">
        <v>117</v>
      </c>
      <c r="E558" s="223"/>
      <c r="F558" s="224">
        <v>8000</v>
      </c>
      <c r="G558" s="254"/>
      <c r="H558" s="473">
        <f t="shared" si="10"/>
        <v>75400</v>
      </c>
      <c r="I558" s="76" t="s">
        <v>193</v>
      </c>
      <c r="J558" s="76" t="s">
        <v>2754</v>
      </c>
      <c r="K558" s="188"/>
    </row>
    <row r="559" spans="1:11" ht="15.6">
      <c r="A559" s="481">
        <v>45887</v>
      </c>
      <c r="B559" s="76" t="s">
        <v>2719</v>
      </c>
      <c r="C559" s="76" t="s">
        <v>174</v>
      </c>
      <c r="D559" s="76" t="s">
        <v>117</v>
      </c>
      <c r="E559" s="223"/>
      <c r="F559" s="224">
        <v>1000</v>
      </c>
      <c r="G559" s="254"/>
      <c r="H559" s="473">
        <f t="shared" si="10"/>
        <v>74400</v>
      </c>
      <c r="I559" s="76" t="s">
        <v>193</v>
      </c>
      <c r="J559" s="474" t="s">
        <v>2753</v>
      </c>
      <c r="K559" s="188"/>
    </row>
    <row r="560" spans="1:11" ht="15.6">
      <c r="A560" s="481">
        <v>45887</v>
      </c>
      <c r="B560" s="76" t="s">
        <v>2720</v>
      </c>
      <c r="C560" s="76" t="s">
        <v>152</v>
      </c>
      <c r="D560" s="76" t="s">
        <v>117</v>
      </c>
      <c r="E560" s="223">
        <v>10000</v>
      </c>
      <c r="F560" s="224"/>
      <c r="G560" s="254"/>
      <c r="H560" s="473">
        <f t="shared" si="10"/>
        <v>84400</v>
      </c>
      <c r="I560" s="76" t="s">
        <v>193</v>
      </c>
      <c r="J560" s="76" t="s">
        <v>2755</v>
      </c>
      <c r="K560" s="188"/>
    </row>
    <row r="561" spans="1:11" ht="15.6">
      <c r="A561" s="481">
        <v>45887</v>
      </c>
      <c r="B561" s="76" t="s">
        <v>2720</v>
      </c>
      <c r="C561" s="76" t="s">
        <v>152</v>
      </c>
      <c r="D561" s="76" t="s">
        <v>117</v>
      </c>
      <c r="E561" s="223"/>
      <c r="F561" s="224">
        <v>10000</v>
      </c>
      <c r="G561" s="254"/>
      <c r="H561" s="473">
        <f t="shared" si="10"/>
        <v>74400</v>
      </c>
      <c r="I561" s="76" t="s">
        <v>193</v>
      </c>
      <c r="J561" s="76" t="s">
        <v>2755</v>
      </c>
      <c r="K561" s="188"/>
    </row>
    <row r="562" spans="1:11" ht="15.6">
      <c r="A562" s="481">
        <v>45888</v>
      </c>
      <c r="B562" s="76" t="s">
        <v>2721</v>
      </c>
      <c r="C562" s="76" t="s">
        <v>174</v>
      </c>
      <c r="D562" s="76" t="s">
        <v>117</v>
      </c>
      <c r="E562" s="223"/>
      <c r="F562" s="224">
        <v>1000</v>
      </c>
      <c r="G562" s="254"/>
      <c r="H562" s="473">
        <f t="shared" si="10"/>
        <v>73400</v>
      </c>
      <c r="I562" s="76" t="s">
        <v>193</v>
      </c>
      <c r="J562" s="474" t="s">
        <v>2753</v>
      </c>
      <c r="K562" s="188"/>
    </row>
    <row r="563" spans="1:11" ht="15.6">
      <c r="A563" s="481">
        <v>45888</v>
      </c>
      <c r="B563" s="76" t="s">
        <v>2722</v>
      </c>
      <c r="C563" s="76" t="s">
        <v>174</v>
      </c>
      <c r="D563" s="76" t="s">
        <v>117</v>
      </c>
      <c r="E563" s="223"/>
      <c r="F563" s="224">
        <v>4000</v>
      </c>
      <c r="G563" s="254"/>
      <c r="H563" s="473">
        <f t="shared" si="10"/>
        <v>69400</v>
      </c>
      <c r="I563" s="76" t="s">
        <v>193</v>
      </c>
      <c r="J563" s="76" t="s">
        <v>2756</v>
      </c>
      <c r="K563" s="188"/>
    </row>
    <row r="564" spans="1:11" ht="15.6">
      <c r="A564" s="481">
        <v>45888</v>
      </c>
      <c r="B564" s="76" t="s">
        <v>2723</v>
      </c>
      <c r="C564" s="76" t="s">
        <v>174</v>
      </c>
      <c r="D564" s="76" t="s">
        <v>117</v>
      </c>
      <c r="E564" s="223"/>
      <c r="F564" s="224">
        <v>500</v>
      </c>
      <c r="G564" s="254"/>
      <c r="H564" s="473">
        <f t="shared" si="10"/>
        <v>68900</v>
      </c>
      <c r="I564" s="76" t="s">
        <v>193</v>
      </c>
      <c r="J564" s="474" t="s">
        <v>2753</v>
      </c>
      <c r="K564" s="188"/>
    </row>
    <row r="565" spans="1:11" ht="15.6">
      <c r="A565" s="481">
        <v>45888</v>
      </c>
      <c r="B565" s="76" t="s">
        <v>2724</v>
      </c>
      <c r="C565" s="76" t="s">
        <v>174</v>
      </c>
      <c r="D565" s="76" t="s">
        <v>117</v>
      </c>
      <c r="E565" s="223"/>
      <c r="F565" s="224">
        <v>300</v>
      </c>
      <c r="G565" s="254"/>
      <c r="H565" s="473">
        <f t="shared" si="10"/>
        <v>68600</v>
      </c>
      <c r="I565" s="76" t="s">
        <v>193</v>
      </c>
      <c r="J565" s="474" t="s">
        <v>2753</v>
      </c>
      <c r="K565" s="188"/>
    </row>
    <row r="566" spans="1:11" ht="15.6">
      <c r="A566" s="481">
        <v>45888</v>
      </c>
      <c r="B566" s="76" t="s">
        <v>2725</v>
      </c>
      <c r="C566" s="76" t="s">
        <v>2696</v>
      </c>
      <c r="D566" s="76" t="s">
        <v>117</v>
      </c>
      <c r="E566" s="223"/>
      <c r="F566" s="224">
        <v>1500</v>
      </c>
      <c r="G566" s="254"/>
      <c r="H566" s="473">
        <f t="shared" si="10"/>
        <v>67100</v>
      </c>
      <c r="I566" s="76" t="s">
        <v>193</v>
      </c>
      <c r="J566" s="76" t="s">
        <v>2757</v>
      </c>
      <c r="K566" s="188"/>
    </row>
    <row r="567" spans="1:11" ht="15.6">
      <c r="A567" s="481">
        <v>45888</v>
      </c>
      <c r="B567" s="76" t="s">
        <v>2726</v>
      </c>
      <c r="C567" s="76" t="s">
        <v>174</v>
      </c>
      <c r="D567" s="76" t="s">
        <v>117</v>
      </c>
      <c r="E567" s="223"/>
      <c r="F567" s="224">
        <v>300</v>
      </c>
      <c r="G567" s="254"/>
      <c r="H567" s="473">
        <f t="shared" si="10"/>
        <v>66800</v>
      </c>
      <c r="I567" s="76" t="s">
        <v>193</v>
      </c>
      <c r="J567" s="474" t="s">
        <v>2753</v>
      </c>
      <c r="K567" s="188"/>
    </row>
    <row r="568" spans="1:11" ht="15.6">
      <c r="A568" s="481">
        <v>45888</v>
      </c>
      <c r="B568" s="76" t="s">
        <v>2727</v>
      </c>
      <c r="C568" s="76" t="s">
        <v>174</v>
      </c>
      <c r="D568" s="76" t="s">
        <v>117</v>
      </c>
      <c r="E568" s="223"/>
      <c r="F568" s="224">
        <v>300</v>
      </c>
      <c r="G568" s="254"/>
      <c r="H568" s="473">
        <f t="shared" si="10"/>
        <v>66500</v>
      </c>
      <c r="I568" s="76" t="s">
        <v>193</v>
      </c>
      <c r="J568" s="474" t="s">
        <v>2753</v>
      </c>
      <c r="K568" s="188"/>
    </row>
    <row r="569" spans="1:11" ht="15.6">
      <c r="A569" s="481">
        <v>45888</v>
      </c>
      <c r="B569" s="76" t="s">
        <v>2728</v>
      </c>
      <c r="C569" s="76" t="s">
        <v>177</v>
      </c>
      <c r="D569" s="76" t="s">
        <v>117</v>
      </c>
      <c r="E569" s="223"/>
      <c r="F569" s="224">
        <v>20000</v>
      </c>
      <c r="G569" s="254"/>
      <c r="H569" s="473">
        <f t="shared" si="10"/>
        <v>46500</v>
      </c>
      <c r="I569" s="76" t="s">
        <v>193</v>
      </c>
      <c r="J569" s="474" t="s">
        <v>2758</v>
      </c>
      <c r="K569" s="188"/>
    </row>
    <row r="570" spans="1:11" ht="15.6">
      <c r="A570" s="481">
        <v>45889</v>
      </c>
      <c r="B570" s="76" t="s">
        <v>2724</v>
      </c>
      <c r="C570" s="76" t="s">
        <v>174</v>
      </c>
      <c r="D570" s="76" t="s">
        <v>117</v>
      </c>
      <c r="E570" s="223"/>
      <c r="F570" s="224">
        <v>300</v>
      </c>
      <c r="G570" s="254"/>
      <c r="H570" s="473">
        <f t="shared" si="10"/>
        <v>46200</v>
      </c>
      <c r="I570" s="76" t="s">
        <v>193</v>
      </c>
      <c r="J570" s="474" t="s">
        <v>2753</v>
      </c>
      <c r="K570" s="188"/>
    </row>
    <row r="571" spans="1:11" ht="15.6">
      <c r="A571" s="481">
        <v>45889</v>
      </c>
      <c r="B571" s="76" t="s">
        <v>2729</v>
      </c>
      <c r="C571" s="76" t="s">
        <v>2696</v>
      </c>
      <c r="D571" s="76" t="s">
        <v>117</v>
      </c>
      <c r="E571" s="223"/>
      <c r="F571" s="224">
        <v>1500</v>
      </c>
      <c r="G571" s="254"/>
      <c r="H571" s="473">
        <f t="shared" si="10"/>
        <v>44700</v>
      </c>
      <c r="I571" s="76" t="s">
        <v>193</v>
      </c>
      <c r="J571" s="76" t="s">
        <v>2757</v>
      </c>
      <c r="K571" s="188"/>
    </row>
    <row r="572" spans="1:11" ht="15.6">
      <c r="A572" s="481">
        <v>45889</v>
      </c>
      <c r="B572" s="76" t="s">
        <v>2726</v>
      </c>
      <c r="C572" s="76" t="s">
        <v>174</v>
      </c>
      <c r="D572" s="76" t="s">
        <v>117</v>
      </c>
      <c r="E572" s="223"/>
      <c r="F572" s="224">
        <v>300</v>
      </c>
      <c r="G572" s="254"/>
      <c r="H572" s="473">
        <f t="shared" si="10"/>
        <v>44400</v>
      </c>
      <c r="I572" s="76" t="s">
        <v>193</v>
      </c>
      <c r="J572" s="474" t="s">
        <v>2753</v>
      </c>
      <c r="K572" s="188"/>
    </row>
    <row r="573" spans="1:11" ht="15.6">
      <c r="A573" s="481">
        <v>45889</v>
      </c>
      <c r="B573" s="76" t="s">
        <v>2730</v>
      </c>
      <c r="C573" s="76" t="s">
        <v>174</v>
      </c>
      <c r="D573" s="76" t="s">
        <v>117</v>
      </c>
      <c r="E573" s="223"/>
      <c r="F573" s="224">
        <v>300</v>
      </c>
      <c r="G573" s="254"/>
      <c r="H573" s="473">
        <f t="shared" si="10"/>
        <v>44100</v>
      </c>
      <c r="I573" s="76" t="s">
        <v>193</v>
      </c>
      <c r="J573" s="474" t="s">
        <v>2753</v>
      </c>
      <c r="K573" s="188"/>
    </row>
    <row r="574" spans="1:11" ht="15.6">
      <c r="A574" s="481">
        <v>45889</v>
      </c>
      <c r="B574" s="76" t="s">
        <v>2731</v>
      </c>
      <c r="C574" s="76" t="s">
        <v>174</v>
      </c>
      <c r="D574" s="76" t="s">
        <v>117</v>
      </c>
      <c r="E574" s="223"/>
      <c r="F574" s="224">
        <v>300</v>
      </c>
      <c r="G574" s="254"/>
      <c r="H574" s="473">
        <f t="shared" si="10"/>
        <v>43800</v>
      </c>
      <c r="I574" s="76" t="s">
        <v>193</v>
      </c>
      <c r="J574" s="474" t="s">
        <v>2753</v>
      </c>
      <c r="K574" s="188"/>
    </row>
    <row r="575" spans="1:11" ht="15.6">
      <c r="A575" s="481">
        <v>45889</v>
      </c>
      <c r="B575" s="76" t="s">
        <v>2724</v>
      </c>
      <c r="C575" s="76" t="s">
        <v>174</v>
      </c>
      <c r="D575" s="76" t="s">
        <v>117</v>
      </c>
      <c r="E575" s="223"/>
      <c r="F575" s="224">
        <v>300</v>
      </c>
      <c r="G575" s="254"/>
      <c r="H575" s="473">
        <f t="shared" si="10"/>
        <v>43500</v>
      </c>
      <c r="I575" s="76" t="s">
        <v>193</v>
      </c>
      <c r="J575" s="474" t="s">
        <v>2753</v>
      </c>
      <c r="K575" s="188"/>
    </row>
    <row r="576" spans="1:11" ht="15.6">
      <c r="A576" s="481">
        <v>45889</v>
      </c>
      <c r="B576" s="76" t="s">
        <v>2732</v>
      </c>
      <c r="C576" s="76" t="s">
        <v>2696</v>
      </c>
      <c r="D576" s="76" t="s">
        <v>117</v>
      </c>
      <c r="E576" s="223"/>
      <c r="F576" s="224">
        <v>1500</v>
      </c>
      <c r="G576" s="254"/>
      <c r="H576" s="473">
        <f t="shared" si="10"/>
        <v>42000</v>
      </c>
      <c r="I576" s="76" t="s">
        <v>193</v>
      </c>
      <c r="J576" s="76" t="s">
        <v>2757</v>
      </c>
      <c r="K576" s="188"/>
    </row>
    <row r="577" spans="1:11" ht="15.6">
      <c r="A577" s="481">
        <v>45889</v>
      </c>
      <c r="B577" s="76" t="s">
        <v>2726</v>
      </c>
      <c r="C577" s="76" t="s">
        <v>174</v>
      </c>
      <c r="D577" s="76" t="s">
        <v>117</v>
      </c>
      <c r="E577" s="223"/>
      <c r="F577" s="224">
        <v>300</v>
      </c>
      <c r="G577" s="254"/>
      <c r="H577" s="473">
        <f t="shared" si="10"/>
        <v>41700</v>
      </c>
      <c r="I577" s="76" t="s">
        <v>193</v>
      </c>
      <c r="J577" s="474" t="s">
        <v>2753</v>
      </c>
      <c r="K577" s="188"/>
    </row>
    <row r="578" spans="1:11" ht="15.6">
      <c r="A578" s="481">
        <v>45889</v>
      </c>
      <c r="B578" s="76" t="s">
        <v>2727</v>
      </c>
      <c r="C578" s="76" t="s">
        <v>174</v>
      </c>
      <c r="D578" s="76" t="s">
        <v>117</v>
      </c>
      <c r="E578" s="223"/>
      <c r="F578" s="224">
        <v>300</v>
      </c>
      <c r="G578" s="254"/>
      <c r="H578" s="473">
        <f t="shared" si="10"/>
        <v>41400</v>
      </c>
      <c r="I578" s="76" t="s">
        <v>193</v>
      </c>
      <c r="J578" s="474" t="s">
        <v>2753</v>
      </c>
      <c r="K578" s="188"/>
    </row>
    <row r="579" spans="1:11" ht="15.6">
      <c r="A579" s="481">
        <v>45890</v>
      </c>
      <c r="B579" s="76" t="s">
        <v>2733</v>
      </c>
      <c r="C579" s="76" t="s">
        <v>177</v>
      </c>
      <c r="D579" s="76" t="s">
        <v>117</v>
      </c>
      <c r="E579" s="223"/>
      <c r="F579" s="224">
        <v>30000</v>
      </c>
      <c r="G579" s="254"/>
      <c r="H579" s="473">
        <f t="shared" si="10"/>
        <v>11400</v>
      </c>
      <c r="I579" s="76" t="s">
        <v>193</v>
      </c>
      <c r="J579" s="76" t="s">
        <v>2759</v>
      </c>
      <c r="K579" s="188"/>
    </row>
    <row r="580" spans="1:11" ht="15.6">
      <c r="A580" s="481">
        <v>45890</v>
      </c>
      <c r="B580" s="76" t="s">
        <v>2734</v>
      </c>
      <c r="C580" s="76" t="s">
        <v>174</v>
      </c>
      <c r="D580" s="129" t="s">
        <v>117</v>
      </c>
      <c r="E580" s="228"/>
      <c r="F580" s="221">
        <v>500</v>
      </c>
      <c r="G580" s="254"/>
      <c r="H580" s="473">
        <f t="shared" si="10"/>
        <v>10900</v>
      </c>
      <c r="I580" s="129" t="s">
        <v>193</v>
      </c>
      <c r="J580" s="474" t="s">
        <v>2753</v>
      </c>
      <c r="K580" s="188"/>
    </row>
    <row r="581" spans="1:11" ht="15.6">
      <c r="A581" s="481">
        <v>45890</v>
      </c>
      <c r="B581" s="76" t="s">
        <v>2735</v>
      </c>
      <c r="C581" s="379" t="s">
        <v>174</v>
      </c>
      <c r="D581" s="129" t="s">
        <v>117</v>
      </c>
      <c r="E581" s="228"/>
      <c r="F581" s="221">
        <v>5000</v>
      </c>
      <c r="G581" s="254"/>
      <c r="H581" s="473">
        <f t="shared" si="10"/>
        <v>5900</v>
      </c>
      <c r="I581" s="129" t="s">
        <v>193</v>
      </c>
      <c r="J581" s="76" t="s">
        <v>2760</v>
      </c>
      <c r="K581" s="188"/>
    </row>
    <row r="582" spans="1:11" ht="15.6">
      <c r="A582" s="481">
        <v>45890</v>
      </c>
      <c r="B582" s="76" t="s">
        <v>2736</v>
      </c>
      <c r="C582" s="76" t="s">
        <v>174</v>
      </c>
      <c r="D582" s="76" t="s">
        <v>117</v>
      </c>
      <c r="E582" s="223"/>
      <c r="F582" s="224">
        <v>7000</v>
      </c>
      <c r="G582" s="254"/>
      <c r="H582" s="473">
        <f t="shared" si="10"/>
        <v>-1100</v>
      </c>
      <c r="I582" s="129" t="s">
        <v>193</v>
      </c>
      <c r="J582" s="76" t="s">
        <v>2761</v>
      </c>
      <c r="K582" s="188"/>
    </row>
    <row r="583" spans="1:11" ht="15.6">
      <c r="A583" s="481">
        <v>45890</v>
      </c>
      <c r="B583" s="124" t="s">
        <v>2737</v>
      </c>
      <c r="C583" s="124" t="s">
        <v>174</v>
      </c>
      <c r="D583" s="124" t="s">
        <v>117</v>
      </c>
      <c r="E583" s="477"/>
      <c r="F583" s="478">
        <v>1000</v>
      </c>
      <c r="G583" s="254"/>
      <c r="H583" s="473">
        <f t="shared" si="10"/>
        <v>-2100</v>
      </c>
      <c r="I583" s="479" t="s">
        <v>193</v>
      </c>
      <c r="J583" s="474" t="s">
        <v>2753</v>
      </c>
      <c r="K583" s="188"/>
    </row>
    <row r="584" spans="1:11" ht="15.6">
      <c r="A584" s="130">
        <v>45891</v>
      </c>
      <c r="B584" s="76" t="s">
        <v>2390</v>
      </c>
      <c r="C584" s="76" t="s">
        <v>172</v>
      </c>
      <c r="D584" s="76" t="s">
        <v>118</v>
      </c>
      <c r="E584" s="221">
        <v>68500</v>
      </c>
      <c r="F584" s="478"/>
      <c r="G584" s="254"/>
      <c r="H584" s="473">
        <f t="shared" si="10"/>
        <v>66400</v>
      </c>
      <c r="I584" s="76" t="s">
        <v>193</v>
      </c>
      <c r="J584" s="129" t="s">
        <v>2391</v>
      </c>
      <c r="K584" s="188"/>
    </row>
    <row r="585" spans="1:11" ht="15.6">
      <c r="A585" s="130">
        <v>45891</v>
      </c>
      <c r="B585" s="76" t="s">
        <v>2390</v>
      </c>
      <c r="C585" s="76" t="s">
        <v>172</v>
      </c>
      <c r="D585" s="76" t="s">
        <v>118</v>
      </c>
      <c r="E585" s="477"/>
      <c r="F585" s="221">
        <v>68500</v>
      </c>
      <c r="G585" s="254"/>
      <c r="H585" s="473">
        <f t="shared" si="10"/>
        <v>-2100</v>
      </c>
      <c r="I585" s="76" t="s">
        <v>193</v>
      </c>
      <c r="J585" s="129" t="s">
        <v>2391</v>
      </c>
      <c r="K585" s="188"/>
    </row>
    <row r="586" spans="1:11" ht="15.6">
      <c r="A586" s="481">
        <v>45891</v>
      </c>
      <c r="B586" s="76" t="s">
        <v>459</v>
      </c>
      <c r="C586" s="225" t="s">
        <v>124</v>
      </c>
      <c r="D586" s="76" t="s">
        <v>117</v>
      </c>
      <c r="E586" s="223">
        <v>20000</v>
      </c>
      <c r="F586" s="224"/>
      <c r="G586" s="254"/>
      <c r="H586" s="473">
        <f t="shared" si="10"/>
        <v>17900</v>
      </c>
      <c r="I586" s="129" t="s">
        <v>193</v>
      </c>
      <c r="J586" s="76" t="s">
        <v>2762</v>
      </c>
      <c r="K586" s="188"/>
    </row>
    <row r="587" spans="1:11" ht="15.6">
      <c r="A587" s="481">
        <v>45896</v>
      </c>
      <c r="B587" s="76" t="s">
        <v>459</v>
      </c>
      <c r="C587" s="225" t="s">
        <v>124</v>
      </c>
      <c r="D587" s="76" t="s">
        <v>117</v>
      </c>
      <c r="E587" s="223">
        <v>174000</v>
      </c>
      <c r="F587" s="224"/>
      <c r="G587" s="254"/>
      <c r="H587" s="473">
        <f t="shared" si="10"/>
        <v>191900</v>
      </c>
      <c r="I587" s="129" t="s">
        <v>193</v>
      </c>
      <c r="J587" s="76" t="s">
        <v>2763</v>
      </c>
      <c r="K587" s="188"/>
    </row>
    <row r="588" spans="1:11" ht="15.6">
      <c r="A588" s="481">
        <v>45896</v>
      </c>
      <c r="B588" s="474" t="s">
        <v>2738</v>
      </c>
      <c r="C588" s="474" t="s">
        <v>174</v>
      </c>
      <c r="D588" s="474" t="s">
        <v>117</v>
      </c>
      <c r="E588" s="475"/>
      <c r="F588" s="476">
        <v>1000</v>
      </c>
      <c r="G588" s="254"/>
      <c r="H588" s="473">
        <f t="shared" si="10"/>
        <v>190900</v>
      </c>
      <c r="I588" s="480" t="s">
        <v>193</v>
      </c>
      <c r="J588" s="474" t="s">
        <v>2753</v>
      </c>
      <c r="K588" s="188"/>
    </row>
    <row r="589" spans="1:11" ht="15.6">
      <c r="A589" s="481">
        <v>45896</v>
      </c>
      <c r="B589" s="76" t="s">
        <v>2739</v>
      </c>
      <c r="C589" s="76" t="s">
        <v>174</v>
      </c>
      <c r="D589" s="76" t="s">
        <v>117</v>
      </c>
      <c r="E589" s="223"/>
      <c r="F589" s="224">
        <v>37000</v>
      </c>
      <c r="G589" s="254"/>
      <c r="H589" s="473">
        <f t="shared" si="10"/>
        <v>153900</v>
      </c>
      <c r="I589" s="129" t="s">
        <v>193</v>
      </c>
      <c r="J589" s="76" t="s">
        <v>2764</v>
      </c>
      <c r="K589" s="188"/>
    </row>
    <row r="590" spans="1:11" ht="15.6">
      <c r="A590" s="481">
        <v>45896</v>
      </c>
      <c r="B590" s="76" t="s">
        <v>2740</v>
      </c>
      <c r="C590" s="76" t="s">
        <v>174</v>
      </c>
      <c r="D590" s="76" t="s">
        <v>117</v>
      </c>
      <c r="E590" s="223"/>
      <c r="F590" s="224">
        <v>1000</v>
      </c>
      <c r="G590" s="254"/>
      <c r="H590" s="473">
        <f t="shared" si="10"/>
        <v>152900</v>
      </c>
      <c r="I590" s="129" t="s">
        <v>193</v>
      </c>
      <c r="J590" s="474" t="s">
        <v>2753</v>
      </c>
      <c r="K590" s="188"/>
    </row>
    <row r="591" spans="1:11" ht="15.6">
      <c r="A591" s="130">
        <v>45896</v>
      </c>
      <c r="B591" s="76" t="s">
        <v>2420</v>
      </c>
      <c r="C591" s="129" t="s">
        <v>174</v>
      </c>
      <c r="D591" s="129" t="s">
        <v>117</v>
      </c>
      <c r="E591" s="221">
        <v>84000</v>
      </c>
      <c r="F591" s="224"/>
      <c r="G591" s="254"/>
      <c r="H591" s="473">
        <f t="shared" si="10"/>
        <v>236900</v>
      </c>
      <c r="I591" s="76" t="s">
        <v>193</v>
      </c>
      <c r="J591" s="129" t="s">
        <v>2421</v>
      </c>
      <c r="K591" s="188"/>
    </row>
    <row r="592" spans="1:11" ht="15.6">
      <c r="A592" s="130">
        <v>45896</v>
      </c>
      <c r="B592" s="76" t="s">
        <v>2422</v>
      </c>
      <c r="C592" s="129" t="s">
        <v>177</v>
      </c>
      <c r="D592" s="129" t="s">
        <v>117</v>
      </c>
      <c r="E592" s="221">
        <v>100000</v>
      </c>
      <c r="F592" s="224"/>
      <c r="G592" s="221"/>
      <c r="H592" s="473">
        <f t="shared" si="10"/>
        <v>336900</v>
      </c>
      <c r="I592" s="76" t="s">
        <v>193</v>
      </c>
      <c r="J592" s="129" t="s">
        <v>2423</v>
      </c>
      <c r="K592" s="188"/>
    </row>
    <row r="593" spans="1:11" ht="15.6">
      <c r="A593" s="130">
        <v>45896</v>
      </c>
      <c r="B593" s="76" t="s">
        <v>2420</v>
      </c>
      <c r="C593" s="129" t="s">
        <v>174</v>
      </c>
      <c r="D593" s="76" t="s">
        <v>117</v>
      </c>
      <c r="E593" s="223"/>
      <c r="F593" s="221">
        <v>84000</v>
      </c>
      <c r="G593" s="221"/>
      <c r="H593" s="473">
        <f t="shared" si="10"/>
        <v>252900</v>
      </c>
      <c r="I593" s="76" t="s">
        <v>193</v>
      </c>
      <c r="J593" s="129" t="s">
        <v>2421</v>
      </c>
      <c r="K593" s="188"/>
    </row>
    <row r="594" spans="1:11" ht="15.6">
      <c r="A594" s="130">
        <v>45896</v>
      </c>
      <c r="B594" s="76" t="s">
        <v>2422</v>
      </c>
      <c r="C594" s="129" t="s">
        <v>177</v>
      </c>
      <c r="D594" s="76" t="s">
        <v>117</v>
      </c>
      <c r="E594" s="223"/>
      <c r="F594" s="221">
        <v>100000</v>
      </c>
      <c r="G594" s="224"/>
      <c r="H594" s="473">
        <f t="shared" si="10"/>
        <v>152900</v>
      </c>
      <c r="I594" s="76" t="s">
        <v>193</v>
      </c>
      <c r="J594" s="129" t="s">
        <v>2423</v>
      </c>
      <c r="K594" s="188"/>
    </row>
    <row r="595" spans="1:11" ht="15.6">
      <c r="A595" s="481">
        <v>45896</v>
      </c>
      <c r="B595" s="76" t="s">
        <v>2741</v>
      </c>
      <c r="C595" s="76" t="s">
        <v>174</v>
      </c>
      <c r="D595" s="76" t="s">
        <v>117</v>
      </c>
      <c r="E595" s="223"/>
      <c r="F595" s="224">
        <v>1000</v>
      </c>
      <c r="G595" s="224"/>
      <c r="H595" s="473">
        <f t="shared" si="10"/>
        <v>151900</v>
      </c>
      <c r="I595" s="129" t="s">
        <v>193</v>
      </c>
      <c r="J595" s="474" t="s">
        <v>2753</v>
      </c>
      <c r="K595" s="188"/>
    </row>
    <row r="596" spans="1:11" ht="15.6">
      <c r="A596" s="481">
        <v>45896</v>
      </c>
      <c r="B596" s="76" t="s">
        <v>2742</v>
      </c>
      <c r="C596" s="76" t="s">
        <v>174</v>
      </c>
      <c r="D596" s="76" t="s">
        <v>117</v>
      </c>
      <c r="E596" s="223"/>
      <c r="F596" s="224">
        <v>1000</v>
      </c>
      <c r="G596" s="224"/>
      <c r="H596" s="473">
        <f t="shared" si="10"/>
        <v>150900</v>
      </c>
      <c r="I596" s="129" t="s">
        <v>193</v>
      </c>
      <c r="J596" s="474" t="s">
        <v>2753</v>
      </c>
      <c r="K596" s="188"/>
    </row>
    <row r="597" spans="1:11" ht="15.6">
      <c r="A597" s="481">
        <v>45897</v>
      </c>
      <c r="B597" s="76" t="s">
        <v>2743</v>
      </c>
      <c r="C597" s="76" t="s">
        <v>174</v>
      </c>
      <c r="D597" s="76" t="s">
        <v>117</v>
      </c>
      <c r="E597" s="228"/>
      <c r="F597" s="221">
        <v>1000</v>
      </c>
      <c r="G597" s="221"/>
      <c r="H597" s="473">
        <f t="shared" si="10"/>
        <v>149900</v>
      </c>
      <c r="I597" s="129" t="s">
        <v>193</v>
      </c>
      <c r="J597" s="474" t="s">
        <v>2753</v>
      </c>
      <c r="K597" s="188"/>
    </row>
    <row r="598" spans="1:11" ht="15.6">
      <c r="A598" s="481">
        <v>45897</v>
      </c>
      <c r="B598" s="76" t="s">
        <v>2744</v>
      </c>
      <c r="C598" s="76" t="s">
        <v>174</v>
      </c>
      <c r="D598" s="76" t="s">
        <v>117</v>
      </c>
      <c r="E598" s="223"/>
      <c r="F598" s="224">
        <v>500</v>
      </c>
      <c r="G598" s="221"/>
      <c r="H598" s="473">
        <f t="shared" si="10"/>
        <v>149400</v>
      </c>
      <c r="I598" s="129" t="s">
        <v>193</v>
      </c>
      <c r="J598" s="474" t="s">
        <v>2753</v>
      </c>
      <c r="K598" s="188"/>
    </row>
    <row r="599" spans="1:11" ht="15.6">
      <c r="A599" s="481">
        <v>45897</v>
      </c>
      <c r="B599" s="76" t="s">
        <v>2745</v>
      </c>
      <c r="C599" s="76" t="s">
        <v>177</v>
      </c>
      <c r="D599" s="76" t="s">
        <v>117</v>
      </c>
      <c r="E599" s="223"/>
      <c r="F599" s="224">
        <v>40000</v>
      </c>
      <c r="G599" s="224"/>
      <c r="H599" s="473">
        <f t="shared" si="10"/>
        <v>109400</v>
      </c>
      <c r="I599" s="129" t="s">
        <v>193</v>
      </c>
      <c r="J599" s="76" t="s">
        <v>2765</v>
      </c>
      <c r="K599" s="188"/>
    </row>
    <row r="600" spans="1:11" ht="15.6">
      <c r="A600" s="481">
        <v>45898</v>
      </c>
      <c r="B600" s="76" t="s">
        <v>2746</v>
      </c>
      <c r="C600" s="76" t="s">
        <v>177</v>
      </c>
      <c r="D600" s="76" t="s">
        <v>117</v>
      </c>
      <c r="E600" s="223"/>
      <c r="F600" s="224">
        <v>15000</v>
      </c>
      <c r="G600" s="224"/>
      <c r="H600" s="473">
        <f t="shared" si="10"/>
        <v>94400</v>
      </c>
      <c r="I600" s="129" t="s">
        <v>193</v>
      </c>
      <c r="J600" s="76" t="s">
        <v>2766</v>
      </c>
      <c r="K600" s="188"/>
    </row>
    <row r="601" spans="1:11" ht="15.6">
      <c r="A601" s="481">
        <v>45898</v>
      </c>
      <c r="B601" s="76" t="s">
        <v>2747</v>
      </c>
      <c r="C601" s="76" t="s">
        <v>174</v>
      </c>
      <c r="D601" s="76" t="s">
        <v>117</v>
      </c>
      <c r="E601" s="223"/>
      <c r="F601" s="224">
        <v>500</v>
      </c>
      <c r="G601" s="224"/>
      <c r="H601" s="473">
        <f t="shared" si="10"/>
        <v>93900</v>
      </c>
      <c r="I601" s="129" t="s">
        <v>193</v>
      </c>
      <c r="J601" s="474" t="s">
        <v>2753</v>
      </c>
      <c r="K601" s="188"/>
    </row>
    <row r="602" spans="1:11" ht="15.6">
      <c r="A602" s="481">
        <v>45898</v>
      </c>
      <c r="B602" s="76" t="s">
        <v>2748</v>
      </c>
      <c r="C602" s="76" t="s">
        <v>174</v>
      </c>
      <c r="D602" s="76" t="s">
        <v>117</v>
      </c>
      <c r="E602" s="223"/>
      <c r="F602" s="224">
        <v>500</v>
      </c>
      <c r="G602" s="224"/>
      <c r="H602" s="473">
        <f t="shared" si="10"/>
        <v>93400</v>
      </c>
      <c r="I602" s="129" t="s">
        <v>193</v>
      </c>
      <c r="J602" s="474" t="s">
        <v>2753</v>
      </c>
      <c r="K602" s="188"/>
    </row>
    <row r="603" spans="1:11" ht="15.6">
      <c r="A603" s="481">
        <v>45899</v>
      </c>
      <c r="B603" s="76" t="s">
        <v>2749</v>
      </c>
      <c r="C603" s="76" t="s">
        <v>177</v>
      </c>
      <c r="D603" s="76" t="s">
        <v>117</v>
      </c>
      <c r="E603" s="223"/>
      <c r="F603" s="224">
        <v>15000</v>
      </c>
      <c r="G603" s="224"/>
      <c r="H603" s="473">
        <f t="shared" si="10"/>
        <v>78400</v>
      </c>
      <c r="I603" s="129" t="s">
        <v>193</v>
      </c>
      <c r="J603" s="76" t="s">
        <v>2767</v>
      </c>
      <c r="K603" s="188"/>
    </row>
    <row r="604" spans="1:11" ht="15.6">
      <c r="A604" s="481">
        <v>45899</v>
      </c>
      <c r="B604" s="76" t="s">
        <v>2750</v>
      </c>
      <c r="C604" s="76" t="s">
        <v>174</v>
      </c>
      <c r="D604" s="76" t="s">
        <v>117</v>
      </c>
      <c r="E604" s="223"/>
      <c r="F604" s="224">
        <v>500</v>
      </c>
      <c r="G604" s="224"/>
      <c r="H604" s="473">
        <f t="shared" si="10"/>
        <v>77900</v>
      </c>
      <c r="I604" s="129" t="s">
        <v>193</v>
      </c>
      <c r="J604" s="474" t="s">
        <v>2753</v>
      </c>
      <c r="K604" s="188"/>
    </row>
    <row r="605" spans="1:11" ht="15.6">
      <c r="A605" s="481">
        <v>45899</v>
      </c>
      <c r="B605" s="129" t="s">
        <v>2751</v>
      </c>
      <c r="C605" s="129" t="s">
        <v>174</v>
      </c>
      <c r="D605" s="129" t="s">
        <v>117</v>
      </c>
      <c r="E605" s="228"/>
      <c r="F605" s="221">
        <v>500</v>
      </c>
      <c r="G605" s="224"/>
      <c r="H605" s="473">
        <f t="shared" si="10"/>
        <v>77400</v>
      </c>
      <c r="I605" s="129" t="s">
        <v>193</v>
      </c>
      <c r="J605" s="474" t="s">
        <v>2753</v>
      </c>
      <c r="K605" s="188"/>
    </row>
    <row r="606" spans="1:11" ht="15.6">
      <c r="A606" s="183"/>
      <c r="B606" s="208"/>
      <c r="C606" s="215"/>
      <c r="D606" s="208"/>
      <c r="E606" s="216">
        <f>SUM(E555:E605)</f>
        <v>535000</v>
      </c>
      <c r="F606" s="216">
        <f>SUM(F555:F605)</f>
        <v>463500</v>
      </c>
      <c r="G606" s="216"/>
      <c r="H606" s="216">
        <f>+E606-F606+H555</f>
        <v>77400</v>
      </c>
      <c r="I606" s="188"/>
      <c r="J606" s="188"/>
      <c r="K606" s="188"/>
    </row>
    <row r="607" spans="1:11" ht="15.6">
      <c r="A607" s="190"/>
      <c r="B607" s="188"/>
      <c r="C607" s="191" t="s">
        <v>1821</v>
      </c>
      <c r="D607" s="188"/>
      <c r="E607" s="192"/>
      <c r="F607" s="192"/>
      <c r="G607" s="192"/>
      <c r="H607" s="193"/>
      <c r="I607" s="188"/>
      <c r="J607" s="188"/>
      <c r="K607" s="188"/>
    </row>
    <row r="608" spans="1:11" ht="15.6">
      <c r="A608" s="190"/>
      <c r="B608" s="188"/>
      <c r="C608" s="188"/>
      <c r="D608" s="188"/>
      <c r="E608" s="192"/>
      <c r="F608" s="192"/>
      <c r="G608" s="192"/>
      <c r="H608" s="193"/>
      <c r="I608" s="188"/>
      <c r="J608" s="188"/>
      <c r="K608" s="188"/>
    </row>
    <row r="609" spans="1:11" ht="15.6">
      <c r="A609" s="194" t="s">
        <v>0</v>
      </c>
      <c r="B609" s="195" t="s">
        <v>445</v>
      </c>
      <c r="C609" s="195" t="s">
        <v>446</v>
      </c>
      <c r="D609" s="195" t="s">
        <v>447</v>
      </c>
      <c r="E609" s="196" t="s">
        <v>448</v>
      </c>
      <c r="F609" s="196" t="s">
        <v>449</v>
      </c>
      <c r="G609" s="196"/>
      <c r="H609" s="197" t="s">
        <v>460</v>
      </c>
      <c r="I609" s="195" t="s">
        <v>450</v>
      </c>
      <c r="J609" s="195" t="s">
        <v>451</v>
      </c>
      <c r="K609" s="198"/>
    </row>
    <row r="610" spans="1:11" ht="15.6">
      <c r="A610" s="148">
        <v>45870</v>
      </c>
      <c r="B610" s="182" t="s">
        <v>2882</v>
      </c>
      <c r="C610" s="182"/>
      <c r="D610" s="182"/>
      <c r="E610" s="185"/>
      <c r="F610" s="185"/>
      <c r="G610" s="185"/>
      <c r="H610" s="186">
        <v>5180</v>
      </c>
      <c r="I610" s="182" t="s">
        <v>197</v>
      </c>
      <c r="J610" s="182"/>
      <c r="K610" s="188"/>
    </row>
    <row r="611" spans="1:11" ht="15.6">
      <c r="A611" s="321">
        <v>45882</v>
      </c>
      <c r="B611" s="226" t="s">
        <v>2768</v>
      </c>
      <c r="C611" s="248" t="s">
        <v>124</v>
      </c>
      <c r="D611" s="248" t="s">
        <v>117</v>
      </c>
      <c r="E611" s="249">
        <v>120000</v>
      </c>
      <c r="F611" s="249"/>
      <c r="G611" s="249"/>
      <c r="H611" s="250">
        <f t="shared" ref="H611:H674" si="11">H610+E611-F611</f>
        <v>125180</v>
      </c>
      <c r="I611" s="248" t="s">
        <v>437</v>
      </c>
      <c r="J611" s="184" t="s">
        <v>2815</v>
      </c>
      <c r="K611" s="188"/>
    </row>
    <row r="612" spans="1:11" ht="15.6">
      <c r="A612" s="321">
        <v>45883</v>
      </c>
      <c r="B612" s="184" t="s">
        <v>2769</v>
      </c>
      <c r="C612" s="248" t="s">
        <v>196</v>
      </c>
      <c r="D612" s="248" t="s">
        <v>117</v>
      </c>
      <c r="E612" s="249"/>
      <c r="F612" s="249">
        <v>37000</v>
      </c>
      <c r="G612" s="249"/>
      <c r="H612" s="250">
        <f t="shared" si="11"/>
        <v>88180</v>
      </c>
      <c r="I612" s="248" t="s">
        <v>437</v>
      </c>
      <c r="J612" s="184" t="s">
        <v>2816</v>
      </c>
      <c r="K612" s="188"/>
    </row>
    <row r="613" spans="1:11" ht="15.6">
      <c r="A613" s="321">
        <v>45883</v>
      </c>
      <c r="B613" s="226" t="s">
        <v>2770</v>
      </c>
      <c r="C613" s="482" t="s">
        <v>196</v>
      </c>
      <c r="D613" s="482" t="s">
        <v>117</v>
      </c>
      <c r="E613" s="251"/>
      <c r="F613" s="251">
        <v>2500</v>
      </c>
      <c r="G613" s="249"/>
      <c r="H613" s="250">
        <f t="shared" si="11"/>
        <v>85680</v>
      </c>
      <c r="I613" s="483" t="s">
        <v>437</v>
      </c>
      <c r="J613" s="226" t="s">
        <v>2817</v>
      </c>
      <c r="K613" s="188"/>
    </row>
    <row r="614" spans="1:11" ht="15.6">
      <c r="A614" s="321">
        <v>45883</v>
      </c>
      <c r="B614" s="226" t="s">
        <v>2771</v>
      </c>
      <c r="C614" s="482" t="s">
        <v>196</v>
      </c>
      <c r="D614" s="482" t="s">
        <v>117</v>
      </c>
      <c r="E614" s="251"/>
      <c r="F614" s="251">
        <v>500</v>
      </c>
      <c r="G614" s="249"/>
      <c r="H614" s="250">
        <f t="shared" si="11"/>
        <v>85180</v>
      </c>
      <c r="I614" s="483" t="s">
        <v>437</v>
      </c>
      <c r="J614" s="226" t="s">
        <v>2817</v>
      </c>
      <c r="K614" s="188"/>
    </row>
    <row r="615" spans="1:11" ht="15.6">
      <c r="A615" s="321">
        <v>45883</v>
      </c>
      <c r="B615" s="252" t="s">
        <v>2772</v>
      </c>
      <c r="C615" s="252" t="s">
        <v>177</v>
      </c>
      <c r="D615" s="252" t="s">
        <v>117</v>
      </c>
      <c r="E615" s="249"/>
      <c r="F615" s="249">
        <v>190000</v>
      </c>
      <c r="G615" s="249"/>
      <c r="H615" s="250">
        <f t="shared" si="11"/>
        <v>-104820</v>
      </c>
      <c r="I615" s="248" t="s">
        <v>437</v>
      </c>
      <c r="J615" s="184" t="s">
        <v>2818</v>
      </c>
      <c r="K615" s="188"/>
    </row>
    <row r="616" spans="1:11" ht="15.6">
      <c r="A616" s="321">
        <v>45884</v>
      </c>
      <c r="B616" s="252" t="s">
        <v>2773</v>
      </c>
      <c r="C616" s="252" t="s">
        <v>177</v>
      </c>
      <c r="D616" s="252" t="s">
        <v>117</v>
      </c>
      <c r="E616" s="249"/>
      <c r="F616" s="249">
        <v>15000</v>
      </c>
      <c r="G616" s="249"/>
      <c r="H616" s="250">
        <f t="shared" si="11"/>
        <v>-119820</v>
      </c>
      <c r="I616" s="248" t="s">
        <v>437</v>
      </c>
      <c r="J616" s="184" t="s">
        <v>2819</v>
      </c>
      <c r="K616" s="188"/>
    </row>
    <row r="617" spans="1:11" ht="15.6">
      <c r="A617" s="321">
        <v>45884</v>
      </c>
      <c r="B617" s="226" t="s">
        <v>2774</v>
      </c>
      <c r="C617" s="482" t="s">
        <v>196</v>
      </c>
      <c r="D617" s="482" t="s">
        <v>117</v>
      </c>
      <c r="E617" s="251"/>
      <c r="F617" s="251">
        <v>500</v>
      </c>
      <c r="G617" s="249"/>
      <c r="H617" s="250">
        <f t="shared" si="11"/>
        <v>-120320</v>
      </c>
      <c r="I617" s="483" t="s">
        <v>437</v>
      </c>
      <c r="J617" s="226" t="s">
        <v>2817</v>
      </c>
      <c r="K617" s="188"/>
    </row>
    <row r="618" spans="1:11" ht="15.6">
      <c r="A618" s="321">
        <v>45884</v>
      </c>
      <c r="B618" s="226" t="s">
        <v>2775</v>
      </c>
      <c r="C618" s="482" t="s">
        <v>196</v>
      </c>
      <c r="D618" s="482" t="s">
        <v>117</v>
      </c>
      <c r="E618" s="251"/>
      <c r="F618" s="251">
        <v>500</v>
      </c>
      <c r="G618" s="249"/>
      <c r="H618" s="250">
        <f t="shared" si="11"/>
        <v>-120820</v>
      </c>
      <c r="I618" s="483" t="s">
        <v>437</v>
      </c>
      <c r="J618" s="226" t="s">
        <v>2817</v>
      </c>
      <c r="K618" s="188"/>
    </row>
    <row r="619" spans="1:11" ht="15.6">
      <c r="A619" s="321">
        <v>45884</v>
      </c>
      <c r="B619" s="184" t="s">
        <v>2460</v>
      </c>
      <c r="C619" s="248" t="s">
        <v>152</v>
      </c>
      <c r="D619" s="248" t="s">
        <v>117</v>
      </c>
      <c r="E619" s="249">
        <v>5000</v>
      </c>
      <c r="F619" s="249"/>
      <c r="G619" s="249"/>
      <c r="H619" s="250">
        <f t="shared" si="11"/>
        <v>-115820</v>
      </c>
      <c r="I619" s="248" t="s">
        <v>437</v>
      </c>
      <c r="J619" s="184" t="s">
        <v>2820</v>
      </c>
      <c r="K619" s="188"/>
    </row>
    <row r="620" spans="1:11" ht="15.6">
      <c r="A620" s="321">
        <v>45884</v>
      </c>
      <c r="B620" s="184" t="s">
        <v>2460</v>
      </c>
      <c r="C620" s="248" t="s">
        <v>152</v>
      </c>
      <c r="D620" s="248" t="s">
        <v>117</v>
      </c>
      <c r="E620" s="249"/>
      <c r="F620" s="249">
        <v>5000</v>
      </c>
      <c r="G620" s="249"/>
      <c r="H620" s="250">
        <f t="shared" si="11"/>
        <v>-120820</v>
      </c>
      <c r="I620" s="248" t="s">
        <v>437</v>
      </c>
      <c r="J620" s="184" t="s">
        <v>2820</v>
      </c>
      <c r="K620" s="188"/>
    </row>
    <row r="621" spans="1:11" ht="15.6">
      <c r="A621" s="321">
        <v>45885</v>
      </c>
      <c r="B621" s="252" t="s">
        <v>2776</v>
      </c>
      <c r="C621" s="252" t="s">
        <v>177</v>
      </c>
      <c r="D621" s="252" t="s">
        <v>117</v>
      </c>
      <c r="E621" s="249"/>
      <c r="F621" s="249">
        <v>15000</v>
      </c>
      <c r="G621" s="249"/>
      <c r="H621" s="250">
        <f t="shared" si="11"/>
        <v>-135820</v>
      </c>
      <c r="I621" s="248" t="s">
        <v>437</v>
      </c>
      <c r="J621" s="184" t="s">
        <v>2821</v>
      </c>
      <c r="K621" s="188"/>
    </row>
    <row r="622" spans="1:11" ht="15.6">
      <c r="A622" s="321">
        <v>45885</v>
      </c>
      <c r="B622" s="226" t="s">
        <v>2777</v>
      </c>
      <c r="C622" s="482" t="s">
        <v>196</v>
      </c>
      <c r="D622" s="482" t="s">
        <v>117</v>
      </c>
      <c r="E622" s="251"/>
      <c r="F622" s="251">
        <v>500</v>
      </c>
      <c r="G622" s="249"/>
      <c r="H622" s="250">
        <f t="shared" si="11"/>
        <v>-136320</v>
      </c>
      <c r="I622" s="483" t="s">
        <v>437</v>
      </c>
      <c r="J622" s="226" t="s">
        <v>2817</v>
      </c>
      <c r="K622" s="188"/>
    </row>
    <row r="623" spans="1:11" ht="15.6">
      <c r="A623" s="321">
        <v>45885</v>
      </c>
      <c r="B623" s="226" t="s">
        <v>2778</v>
      </c>
      <c r="C623" s="482" t="s">
        <v>196</v>
      </c>
      <c r="D623" s="482" t="s">
        <v>117</v>
      </c>
      <c r="E623" s="251"/>
      <c r="F623" s="251">
        <v>500</v>
      </c>
      <c r="G623" s="249"/>
      <c r="H623" s="250">
        <f t="shared" si="11"/>
        <v>-136820</v>
      </c>
      <c r="I623" s="483" t="s">
        <v>437</v>
      </c>
      <c r="J623" s="226" t="s">
        <v>2817</v>
      </c>
      <c r="K623" s="188"/>
    </row>
    <row r="624" spans="1:11" ht="15.6">
      <c r="A624" s="321">
        <v>45887</v>
      </c>
      <c r="B624" s="226" t="s">
        <v>2779</v>
      </c>
      <c r="C624" s="226" t="s">
        <v>124</v>
      </c>
      <c r="D624" s="482" t="s">
        <v>117</v>
      </c>
      <c r="E624" s="251">
        <v>196000</v>
      </c>
      <c r="F624" s="251"/>
      <c r="G624" s="249"/>
      <c r="H624" s="250">
        <f t="shared" si="11"/>
        <v>59180</v>
      </c>
      <c r="I624" s="483" t="s">
        <v>437</v>
      </c>
      <c r="J624" s="184" t="s">
        <v>2822</v>
      </c>
      <c r="K624" s="188"/>
    </row>
    <row r="625" spans="1:11" ht="15.6">
      <c r="A625" s="321">
        <v>45887</v>
      </c>
      <c r="B625" s="226" t="s">
        <v>2780</v>
      </c>
      <c r="C625" s="482" t="s">
        <v>196</v>
      </c>
      <c r="D625" s="482" t="s">
        <v>117</v>
      </c>
      <c r="E625" s="251"/>
      <c r="F625" s="251">
        <v>500</v>
      </c>
      <c r="G625" s="249"/>
      <c r="H625" s="250">
        <f t="shared" si="11"/>
        <v>58680</v>
      </c>
      <c r="I625" s="483" t="s">
        <v>437</v>
      </c>
      <c r="J625" s="226" t="s">
        <v>2817</v>
      </c>
      <c r="K625" s="188"/>
    </row>
    <row r="626" spans="1:11" ht="15.6">
      <c r="A626" s="321">
        <v>45887</v>
      </c>
      <c r="B626" s="226" t="s">
        <v>2781</v>
      </c>
      <c r="C626" s="482" t="s">
        <v>196</v>
      </c>
      <c r="D626" s="482" t="s">
        <v>117</v>
      </c>
      <c r="E626" s="251"/>
      <c r="F626" s="251">
        <v>500</v>
      </c>
      <c r="G626" s="249"/>
      <c r="H626" s="250">
        <f t="shared" si="11"/>
        <v>58180</v>
      </c>
      <c r="I626" s="483" t="s">
        <v>437</v>
      </c>
      <c r="J626" s="226" t="s">
        <v>2817</v>
      </c>
      <c r="K626" s="188"/>
    </row>
    <row r="627" spans="1:11" ht="15.6">
      <c r="A627" s="321">
        <v>45887</v>
      </c>
      <c r="B627" s="184" t="s">
        <v>2782</v>
      </c>
      <c r="C627" s="248" t="s">
        <v>152</v>
      </c>
      <c r="D627" s="248" t="s">
        <v>117</v>
      </c>
      <c r="E627" s="249">
        <v>10000</v>
      </c>
      <c r="F627" s="249"/>
      <c r="G627" s="249"/>
      <c r="H627" s="250">
        <f t="shared" si="11"/>
        <v>68180</v>
      </c>
      <c r="I627" s="248" t="s">
        <v>437</v>
      </c>
      <c r="J627" s="184" t="s">
        <v>2823</v>
      </c>
      <c r="K627" s="188"/>
    </row>
    <row r="628" spans="1:11" ht="15.6">
      <c r="A628" s="321">
        <v>45887</v>
      </c>
      <c r="B628" s="184" t="s">
        <v>2782</v>
      </c>
      <c r="C628" s="248" t="s">
        <v>152</v>
      </c>
      <c r="D628" s="248" t="s">
        <v>117</v>
      </c>
      <c r="E628" s="249"/>
      <c r="F628" s="249">
        <v>10000</v>
      </c>
      <c r="G628" s="249"/>
      <c r="H628" s="250">
        <f t="shared" si="11"/>
        <v>58180</v>
      </c>
      <c r="I628" s="248" t="s">
        <v>437</v>
      </c>
      <c r="J628" s="184" t="s">
        <v>2823</v>
      </c>
      <c r="K628" s="188"/>
    </row>
    <row r="629" spans="1:11" ht="15.6">
      <c r="A629" s="321">
        <v>45891</v>
      </c>
      <c r="B629" s="226" t="s">
        <v>2783</v>
      </c>
      <c r="C629" s="482" t="s">
        <v>196</v>
      </c>
      <c r="D629" s="482" t="s">
        <v>117</v>
      </c>
      <c r="E629" s="251"/>
      <c r="F629" s="251">
        <v>500</v>
      </c>
      <c r="G629" s="249"/>
      <c r="H629" s="250">
        <f t="shared" si="11"/>
        <v>57680</v>
      </c>
      <c r="I629" s="483" t="s">
        <v>437</v>
      </c>
      <c r="J629" s="226" t="s">
        <v>2817</v>
      </c>
      <c r="K629" s="188"/>
    </row>
    <row r="630" spans="1:11" ht="15.6">
      <c r="A630" s="321">
        <v>45891</v>
      </c>
      <c r="B630" s="226" t="s">
        <v>2784</v>
      </c>
      <c r="C630" s="482" t="s">
        <v>196</v>
      </c>
      <c r="D630" s="482" t="s">
        <v>117</v>
      </c>
      <c r="E630" s="251"/>
      <c r="F630" s="251">
        <v>500</v>
      </c>
      <c r="G630" s="249"/>
      <c r="H630" s="250">
        <f t="shared" si="11"/>
        <v>57180</v>
      </c>
      <c r="I630" s="483" t="s">
        <v>437</v>
      </c>
      <c r="J630" s="226" t="s">
        <v>2817</v>
      </c>
      <c r="K630" s="188"/>
    </row>
    <row r="631" spans="1:11" ht="15.6">
      <c r="A631" s="321">
        <v>45891</v>
      </c>
      <c r="B631" s="226" t="s">
        <v>2785</v>
      </c>
      <c r="C631" s="482" t="s">
        <v>196</v>
      </c>
      <c r="D631" s="482" t="s">
        <v>117</v>
      </c>
      <c r="E631" s="251"/>
      <c r="F631" s="251">
        <v>500</v>
      </c>
      <c r="G631" s="249"/>
      <c r="H631" s="250">
        <f t="shared" si="11"/>
        <v>56680</v>
      </c>
      <c r="I631" s="483" t="s">
        <v>437</v>
      </c>
      <c r="J631" s="226" t="s">
        <v>2817</v>
      </c>
      <c r="K631" s="188"/>
    </row>
    <row r="632" spans="1:11" ht="15.6">
      <c r="A632" s="321">
        <v>45892</v>
      </c>
      <c r="B632" s="226" t="s">
        <v>2786</v>
      </c>
      <c r="C632" s="482" t="s">
        <v>196</v>
      </c>
      <c r="D632" s="482" t="s">
        <v>117</v>
      </c>
      <c r="E632" s="251"/>
      <c r="F632" s="251">
        <v>500</v>
      </c>
      <c r="G632" s="249"/>
      <c r="H632" s="250">
        <f t="shared" si="11"/>
        <v>56180</v>
      </c>
      <c r="I632" s="483" t="s">
        <v>437</v>
      </c>
      <c r="J632" s="226" t="s">
        <v>2817</v>
      </c>
      <c r="K632" s="188"/>
    </row>
    <row r="633" spans="1:11" ht="15.6">
      <c r="A633" s="321">
        <v>45892</v>
      </c>
      <c r="B633" s="226" t="s">
        <v>2787</v>
      </c>
      <c r="C633" s="482" t="s">
        <v>196</v>
      </c>
      <c r="D633" s="482" t="s">
        <v>117</v>
      </c>
      <c r="E633" s="251"/>
      <c r="F633" s="251">
        <v>500</v>
      </c>
      <c r="G633" s="249"/>
      <c r="H633" s="250">
        <f t="shared" si="11"/>
        <v>55680</v>
      </c>
      <c r="I633" s="483" t="s">
        <v>437</v>
      </c>
      <c r="J633" s="226" t="s">
        <v>2817</v>
      </c>
      <c r="K633" s="188"/>
    </row>
    <row r="634" spans="1:11" ht="15.6">
      <c r="A634" s="321">
        <v>45892</v>
      </c>
      <c r="B634" s="226" t="s">
        <v>2788</v>
      </c>
      <c r="C634" s="482" t="s">
        <v>196</v>
      </c>
      <c r="D634" s="482" t="s">
        <v>117</v>
      </c>
      <c r="E634" s="251"/>
      <c r="F634" s="251">
        <v>500</v>
      </c>
      <c r="G634" s="249"/>
      <c r="H634" s="250">
        <f t="shared" si="11"/>
        <v>55180</v>
      </c>
      <c r="I634" s="483" t="s">
        <v>437</v>
      </c>
      <c r="J634" s="226" t="s">
        <v>2817</v>
      </c>
      <c r="K634" s="188"/>
    </row>
    <row r="635" spans="1:11" ht="15.6">
      <c r="A635" s="321">
        <v>45892</v>
      </c>
      <c r="B635" s="226" t="s">
        <v>2781</v>
      </c>
      <c r="C635" s="482" t="s">
        <v>196</v>
      </c>
      <c r="D635" s="482" t="s">
        <v>117</v>
      </c>
      <c r="E635" s="251"/>
      <c r="F635" s="251">
        <v>500</v>
      </c>
      <c r="G635" s="249"/>
      <c r="H635" s="250">
        <f t="shared" si="11"/>
        <v>54680</v>
      </c>
      <c r="I635" s="483" t="s">
        <v>437</v>
      </c>
      <c r="J635" s="226" t="s">
        <v>2817</v>
      </c>
      <c r="K635" s="188"/>
    </row>
    <row r="636" spans="1:11" ht="15.6">
      <c r="A636" s="321">
        <v>45892</v>
      </c>
      <c r="B636" s="226" t="s">
        <v>2779</v>
      </c>
      <c r="C636" s="226" t="s">
        <v>124</v>
      </c>
      <c r="D636" s="482" t="s">
        <v>117</v>
      </c>
      <c r="E636" s="251">
        <v>129000</v>
      </c>
      <c r="F636" s="251"/>
      <c r="G636" s="249"/>
      <c r="H636" s="250">
        <f t="shared" si="11"/>
        <v>183680</v>
      </c>
      <c r="I636" s="483" t="s">
        <v>437</v>
      </c>
      <c r="J636" s="184" t="s">
        <v>2824</v>
      </c>
      <c r="K636" s="188"/>
    </row>
    <row r="637" spans="1:11" ht="15.6">
      <c r="A637" s="321">
        <v>45893</v>
      </c>
      <c r="B637" s="226" t="s">
        <v>2789</v>
      </c>
      <c r="C637" s="482" t="s">
        <v>196</v>
      </c>
      <c r="D637" s="482" t="s">
        <v>117</v>
      </c>
      <c r="E637" s="251"/>
      <c r="F637" s="251">
        <v>500</v>
      </c>
      <c r="G637" s="249"/>
      <c r="H637" s="250">
        <f t="shared" si="11"/>
        <v>183180</v>
      </c>
      <c r="I637" s="483" t="s">
        <v>437</v>
      </c>
      <c r="J637" s="226" t="s">
        <v>2817</v>
      </c>
      <c r="K637" s="188"/>
    </row>
    <row r="638" spans="1:11" ht="15.6">
      <c r="A638" s="321">
        <v>45893</v>
      </c>
      <c r="B638" s="184" t="s">
        <v>1809</v>
      </c>
      <c r="C638" s="184" t="s">
        <v>1810</v>
      </c>
      <c r="D638" s="248" t="s">
        <v>117</v>
      </c>
      <c r="E638" s="249"/>
      <c r="F638" s="249">
        <v>1400</v>
      </c>
      <c r="G638" s="249"/>
      <c r="H638" s="250">
        <f t="shared" si="11"/>
        <v>181780</v>
      </c>
      <c r="I638" s="248" t="s">
        <v>437</v>
      </c>
      <c r="J638" s="184" t="s">
        <v>2825</v>
      </c>
      <c r="K638" s="188"/>
    </row>
    <row r="639" spans="1:11" ht="15.6">
      <c r="A639" s="321">
        <v>45893</v>
      </c>
      <c r="B639" s="226" t="s">
        <v>2790</v>
      </c>
      <c r="C639" s="482" t="s">
        <v>196</v>
      </c>
      <c r="D639" s="482" t="s">
        <v>117</v>
      </c>
      <c r="E639" s="251"/>
      <c r="F639" s="251">
        <v>500</v>
      </c>
      <c r="G639" s="249"/>
      <c r="H639" s="250">
        <f t="shared" si="11"/>
        <v>181280</v>
      </c>
      <c r="I639" s="483" t="s">
        <v>437</v>
      </c>
      <c r="J639" s="226" t="s">
        <v>2817</v>
      </c>
      <c r="K639" s="188"/>
    </row>
    <row r="640" spans="1:11" ht="15.6">
      <c r="A640" s="321">
        <v>45894</v>
      </c>
      <c r="B640" s="226" t="s">
        <v>2791</v>
      </c>
      <c r="C640" s="482" t="s">
        <v>196</v>
      </c>
      <c r="D640" s="482" t="s">
        <v>117</v>
      </c>
      <c r="E640" s="251"/>
      <c r="F640" s="251">
        <v>500</v>
      </c>
      <c r="G640" s="249"/>
      <c r="H640" s="250">
        <f t="shared" si="11"/>
        <v>180780</v>
      </c>
      <c r="I640" s="483" t="s">
        <v>437</v>
      </c>
      <c r="J640" s="226" t="s">
        <v>2817</v>
      </c>
      <c r="K640" s="188"/>
    </row>
    <row r="641" spans="1:11" ht="15.6">
      <c r="A641" s="321">
        <v>45894</v>
      </c>
      <c r="B641" s="184" t="s">
        <v>1089</v>
      </c>
      <c r="C641" s="248" t="s">
        <v>196</v>
      </c>
      <c r="D641" s="248" t="s">
        <v>2479</v>
      </c>
      <c r="E641" s="249"/>
      <c r="F641" s="249">
        <v>25000</v>
      </c>
      <c r="G641" s="249"/>
      <c r="H641" s="250">
        <f t="shared" si="11"/>
        <v>155780</v>
      </c>
      <c r="I641" s="248" t="s">
        <v>437</v>
      </c>
      <c r="J641" s="184" t="s">
        <v>2826</v>
      </c>
      <c r="K641" s="188"/>
    </row>
    <row r="642" spans="1:11" ht="15.6">
      <c r="A642" s="321">
        <v>45894</v>
      </c>
      <c r="B642" s="184" t="s">
        <v>1813</v>
      </c>
      <c r="C642" s="248" t="s">
        <v>177</v>
      </c>
      <c r="D642" s="248" t="s">
        <v>117</v>
      </c>
      <c r="E642" s="249"/>
      <c r="F642" s="249">
        <v>23250</v>
      </c>
      <c r="G642" s="249"/>
      <c r="H642" s="250">
        <f t="shared" si="11"/>
        <v>132530</v>
      </c>
      <c r="I642" s="248" t="s">
        <v>437</v>
      </c>
      <c r="J642" s="184" t="s">
        <v>2827</v>
      </c>
      <c r="K642" s="188"/>
    </row>
    <row r="643" spans="1:11" ht="15.6">
      <c r="A643" s="321">
        <v>45894</v>
      </c>
      <c r="B643" s="226" t="s">
        <v>2792</v>
      </c>
      <c r="C643" s="482" t="s">
        <v>196</v>
      </c>
      <c r="D643" s="482" t="s">
        <v>117</v>
      </c>
      <c r="E643" s="251"/>
      <c r="F643" s="251">
        <v>500</v>
      </c>
      <c r="G643" s="249"/>
      <c r="H643" s="250">
        <f t="shared" si="11"/>
        <v>132030</v>
      </c>
      <c r="I643" s="483" t="s">
        <v>437</v>
      </c>
      <c r="J643" s="226" t="s">
        <v>2817</v>
      </c>
      <c r="K643" s="188"/>
    </row>
    <row r="644" spans="1:11" ht="15.6">
      <c r="A644" s="321">
        <v>45894</v>
      </c>
      <c r="B644" s="226" t="s">
        <v>2793</v>
      </c>
      <c r="C644" s="482" t="s">
        <v>196</v>
      </c>
      <c r="D644" s="482" t="s">
        <v>117</v>
      </c>
      <c r="E644" s="251"/>
      <c r="F644" s="251">
        <v>500</v>
      </c>
      <c r="G644" s="249"/>
      <c r="H644" s="250">
        <f t="shared" si="11"/>
        <v>131530</v>
      </c>
      <c r="I644" s="483" t="s">
        <v>437</v>
      </c>
      <c r="J644" s="226" t="s">
        <v>2817</v>
      </c>
      <c r="K644" s="188"/>
    </row>
    <row r="645" spans="1:11" ht="15.6">
      <c r="A645" s="321">
        <v>45894</v>
      </c>
      <c r="B645" s="226" t="s">
        <v>2794</v>
      </c>
      <c r="C645" s="226" t="s">
        <v>313</v>
      </c>
      <c r="D645" s="482" t="s">
        <v>117</v>
      </c>
      <c r="E645" s="251"/>
      <c r="F645" s="251">
        <v>1500</v>
      </c>
      <c r="G645" s="249"/>
      <c r="H645" s="250">
        <f t="shared" si="11"/>
        <v>130030</v>
      </c>
      <c r="I645" s="483" t="s">
        <v>437</v>
      </c>
      <c r="J645" s="226" t="s">
        <v>2828</v>
      </c>
      <c r="K645" s="188"/>
    </row>
    <row r="646" spans="1:11" ht="15.6">
      <c r="A646" s="321">
        <v>45894</v>
      </c>
      <c r="B646" s="226" t="s">
        <v>2795</v>
      </c>
      <c r="C646" s="482" t="s">
        <v>196</v>
      </c>
      <c r="D646" s="482" t="s">
        <v>117</v>
      </c>
      <c r="E646" s="251"/>
      <c r="F646" s="251">
        <v>500</v>
      </c>
      <c r="G646" s="249"/>
      <c r="H646" s="250">
        <f t="shared" si="11"/>
        <v>129530</v>
      </c>
      <c r="I646" s="483" t="s">
        <v>437</v>
      </c>
      <c r="J646" s="226" t="s">
        <v>2817</v>
      </c>
      <c r="K646" s="188"/>
    </row>
    <row r="647" spans="1:11" ht="15.6">
      <c r="A647" s="321">
        <v>45895</v>
      </c>
      <c r="B647" s="226" t="s">
        <v>2796</v>
      </c>
      <c r="C647" s="482" t="s">
        <v>196</v>
      </c>
      <c r="D647" s="482" t="s">
        <v>117</v>
      </c>
      <c r="E647" s="251"/>
      <c r="F647" s="251">
        <v>500</v>
      </c>
      <c r="G647" s="249"/>
      <c r="H647" s="250">
        <f t="shared" si="11"/>
        <v>129030</v>
      </c>
      <c r="I647" s="483" t="s">
        <v>437</v>
      </c>
      <c r="J647" s="226" t="s">
        <v>2817</v>
      </c>
      <c r="K647" s="188"/>
    </row>
    <row r="648" spans="1:11" ht="15.6">
      <c r="A648" s="321">
        <v>45895</v>
      </c>
      <c r="B648" s="226" t="s">
        <v>2797</v>
      </c>
      <c r="C648" s="226" t="s">
        <v>313</v>
      </c>
      <c r="D648" s="482" t="s">
        <v>117</v>
      </c>
      <c r="E648" s="251"/>
      <c r="F648" s="251">
        <v>1500</v>
      </c>
      <c r="G648" s="249"/>
      <c r="H648" s="250">
        <f t="shared" si="11"/>
        <v>127530</v>
      </c>
      <c r="I648" s="483" t="s">
        <v>437</v>
      </c>
      <c r="J648" s="226" t="s">
        <v>2828</v>
      </c>
      <c r="K648" s="188"/>
    </row>
    <row r="649" spans="1:11" ht="15.6">
      <c r="A649" s="321">
        <v>45895</v>
      </c>
      <c r="B649" s="226" t="s">
        <v>2795</v>
      </c>
      <c r="C649" s="482" t="s">
        <v>196</v>
      </c>
      <c r="D649" s="482" t="s">
        <v>117</v>
      </c>
      <c r="E649" s="251"/>
      <c r="F649" s="251">
        <v>500</v>
      </c>
      <c r="G649" s="249"/>
      <c r="H649" s="250">
        <f t="shared" si="11"/>
        <v>127030</v>
      </c>
      <c r="I649" s="483" t="s">
        <v>437</v>
      </c>
      <c r="J649" s="226" t="s">
        <v>2817</v>
      </c>
      <c r="K649" s="188"/>
    </row>
    <row r="650" spans="1:11" ht="15.6">
      <c r="A650" s="321">
        <v>45895</v>
      </c>
      <c r="B650" s="226" t="s">
        <v>2798</v>
      </c>
      <c r="C650" s="482" t="s">
        <v>196</v>
      </c>
      <c r="D650" s="482" t="s">
        <v>117</v>
      </c>
      <c r="E650" s="251"/>
      <c r="F650" s="251">
        <v>500</v>
      </c>
      <c r="G650" s="249"/>
      <c r="H650" s="250">
        <f t="shared" si="11"/>
        <v>126530</v>
      </c>
      <c r="I650" s="483" t="s">
        <v>437</v>
      </c>
      <c r="J650" s="226" t="s">
        <v>2817</v>
      </c>
      <c r="K650" s="188"/>
    </row>
    <row r="651" spans="1:11" ht="15.6">
      <c r="A651" s="321">
        <v>45895</v>
      </c>
      <c r="B651" s="226" t="s">
        <v>2799</v>
      </c>
      <c r="C651" s="482" t="s">
        <v>196</v>
      </c>
      <c r="D651" s="482" t="s">
        <v>117</v>
      </c>
      <c r="E651" s="251"/>
      <c r="F651" s="251">
        <v>500</v>
      </c>
      <c r="G651" s="249"/>
      <c r="H651" s="250">
        <f t="shared" si="11"/>
        <v>126030</v>
      </c>
      <c r="I651" s="483" t="s">
        <v>437</v>
      </c>
      <c r="J651" s="226" t="s">
        <v>2817</v>
      </c>
      <c r="K651" s="188"/>
    </row>
    <row r="652" spans="1:11" ht="15.6">
      <c r="A652" s="321">
        <v>45895</v>
      </c>
      <c r="B652" s="226" t="s">
        <v>2800</v>
      </c>
      <c r="C652" s="482" t="s">
        <v>196</v>
      </c>
      <c r="D652" s="482" t="s">
        <v>117</v>
      </c>
      <c r="E652" s="251"/>
      <c r="F652" s="251">
        <v>500</v>
      </c>
      <c r="G652" s="249"/>
      <c r="H652" s="250">
        <f t="shared" si="11"/>
        <v>125530</v>
      </c>
      <c r="I652" s="483" t="s">
        <v>437</v>
      </c>
      <c r="J652" s="226" t="s">
        <v>2817</v>
      </c>
      <c r="K652" s="188"/>
    </row>
    <row r="653" spans="1:11" ht="15.6">
      <c r="A653" s="321">
        <v>45895</v>
      </c>
      <c r="B653" s="226" t="s">
        <v>2794</v>
      </c>
      <c r="C653" s="226" t="s">
        <v>313</v>
      </c>
      <c r="D653" s="482" t="s">
        <v>117</v>
      </c>
      <c r="E653" s="251"/>
      <c r="F653" s="251">
        <v>1500</v>
      </c>
      <c r="G653" s="249"/>
      <c r="H653" s="250">
        <f t="shared" si="11"/>
        <v>124030</v>
      </c>
      <c r="I653" s="483" t="s">
        <v>437</v>
      </c>
      <c r="J653" s="226" t="s">
        <v>2828</v>
      </c>
      <c r="K653" s="188"/>
    </row>
    <row r="654" spans="1:11" ht="15.6">
      <c r="A654" s="321">
        <v>45895</v>
      </c>
      <c r="B654" s="226" t="s">
        <v>2795</v>
      </c>
      <c r="C654" s="482" t="s">
        <v>196</v>
      </c>
      <c r="D654" s="482" t="s">
        <v>117</v>
      </c>
      <c r="E654" s="251"/>
      <c r="F654" s="251">
        <v>500</v>
      </c>
      <c r="G654" s="249"/>
      <c r="H654" s="250">
        <f t="shared" si="11"/>
        <v>123530</v>
      </c>
      <c r="I654" s="483" t="s">
        <v>437</v>
      </c>
      <c r="J654" s="226" t="s">
        <v>2817</v>
      </c>
      <c r="K654" s="188"/>
    </row>
    <row r="655" spans="1:11" ht="15.6">
      <c r="A655" s="321">
        <v>45896</v>
      </c>
      <c r="B655" s="226" t="s">
        <v>2801</v>
      </c>
      <c r="C655" s="482" t="s">
        <v>196</v>
      </c>
      <c r="D655" s="482" t="s">
        <v>117</v>
      </c>
      <c r="E655" s="251"/>
      <c r="F655" s="251">
        <v>500</v>
      </c>
      <c r="G655" s="249"/>
      <c r="H655" s="250">
        <f t="shared" si="11"/>
        <v>123030</v>
      </c>
      <c r="I655" s="483" t="s">
        <v>437</v>
      </c>
      <c r="J655" s="226" t="s">
        <v>2817</v>
      </c>
      <c r="K655" s="188"/>
    </row>
    <row r="656" spans="1:11" ht="15.6">
      <c r="A656" s="321">
        <v>45896</v>
      </c>
      <c r="B656" s="226" t="s">
        <v>2797</v>
      </c>
      <c r="C656" s="226" t="s">
        <v>313</v>
      </c>
      <c r="D656" s="482" t="s">
        <v>117</v>
      </c>
      <c r="E656" s="251"/>
      <c r="F656" s="251">
        <v>1500</v>
      </c>
      <c r="G656" s="249"/>
      <c r="H656" s="250">
        <f t="shared" si="11"/>
        <v>121530</v>
      </c>
      <c r="I656" s="483" t="s">
        <v>437</v>
      </c>
      <c r="J656" s="226" t="s">
        <v>2828</v>
      </c>
      <c r="K656" s="188"/>
    </row>
    <row r="657" spans="1:11" ht="15.6">
      <c r="A657" s="321">
        <v>45896</v>
      </c>
      <c r="B657" s="226" t="s">
        <v>2795</v>
      </c>
      <c r="C657" s="482" t="s">
        <v>196</v>
      </c>
      <c r="D657" s="482" t="s">
        <v>117</v>
      </c>
      <c r="E657" s="251"/>
      <c r="F657" s="251">
        <v>500</v>
      </c>
      <c r="G657" s="249"/>
      <c r="H657" s="250">
        <f t="shared" si="11"/>
        <v>121030</v>
      </c>
      <c r="I657" s="483" t="s">
        <v>437</v>
      </c>
      <c r="J657" s="226" t="s">
        <v>2817</v>
      </c>
      <c r="K657" s="188"/>
    </row>
    <row r="658" spans="1:11" ht="15.6">
      <c r="A658" s="321">
        <v>45896</v>
      </c>
      <c r="B658" s="226" t="s">
        <v>2802</v>
      </c>
      <c r="C658" s="482" t="s">
        <v>196</v>
      </c>
      <c r="D658" s="482" t="s">
        <v>117</v>
      </c>
      <c r="E658" s="251"/>
      <c r="F658" s="251">
        <v>500</v>
      </c>
      <c r="G658" s="249"/>
      <c r="H658" s="250">
        <f t="shared" si="11"/>
        <v>120530</v>
      </c>
      <c r="I658" s="483" t="s">
        <v>437</v>
      </c>
      <c r="J658" s="226" t="s">
        <v>2817</v>
      </c>
      <c r="K658" s="188"/>
    </row>
    <row r="659" spans="1:11" ht="15.6">
      <c r="A659" s="321">
        <v>45896</v>
      </c>
      <c r="B659" s="226" t="s">
        <v>2803</v>
      </c>
      <c r="C659" s="482" t="s">
        <v>196</v>
      </c>
      <c r="D659" s="482" t="s">
        <v>117</v>
      </c>
      <c r="E659" s="251"/>
      <c r="F659" s="251">
        <v>500</v>
      </c>
      <c r="G659" s="249"/>
      <c r="H659" s="250">
        <f t="shared" si="11"/>
        <v>120030</v>
      </c>
      <c r="I659" s="483" t="s">
        <v>437</v>
      </c>
      <c r="J659" s="226" t="s">
        <v>2817</v>
      </c>
      <c r="K659" s="188"/>
    </row>
    <row r="660" spans="1:11" ht="15.6">
      <c r="A660" s="321">
        <v>45896</v>
      </c>
      <c r="B660" s="226" t="s">
        <v>2804</v>
      </c>
      <c r="C660" s="482" t="s">
        <v>196</v>
      </c>
      <c r="D660" s="482" t="s">
        <v>117</v>
      </c>
      <c r="E660" s="251"/>
      <c r="F660" s="251">
        <v>500</v>
      </c>
      <c r="G660" s="249"/>
      <c r="H660" s="250">
        <f t="shared" si="11"/>
        <v>119530</v>
      </c>
      <c r="I660" s="483" t="s">
        <v>437</v>
      </c>
      <c r="J660" s="226" t="s">
        <v>2817</v>
      </c>
      <c r="K660" s="188"/>
    </row>
    <row r="661" spans="1:11" ht="15.6">
      <c r="A661" s="321">
        <v>45896</v>
      </c>
      <c r="B661" s="226" t="s">
        <v>2805</v>
      </c>
      <c r="C661" s="482" t="s">
        <v>196</v>
      </c>
      <c r="D661" s="482" t="s">
        <v>117</v>
      </c>
      <c r="E661" s="251"/>
      <c r="F661" s="251">
        <v>500</v>
      </c>
      <c r="G661" s="249"/>
      <c r="H661" s="250">
        <f t="shared" si="11"/>
        <v>119030</v>
      </c>
      <c r="I661" s="483" t="s">
        <v>437</v>
      </c>
      <c r="J661" s="226" t="s">
        <v>2817</v>
      </c>
      <c r="K661" s="188"/>
    </row>
    <row r="662" spans="1:11" ht="15.6">
      <c r="A662" s="321">
        <v>45896</v>
      </c>
      <c r="B662" s="226" t="s">
        <v>2779</v>
      </c>
      <c r="C662" s="226" t="s">
        <v>124</v>
      </c>
      <c r="D662" s="482" t="s">
        <v>117</v>
      </c>
      <c r="E662" s="251">
        <v>196000</v>
      </c>
      <c r="F662" s="251"/>
      <c r="G662" s="249"/>
      <c r="H662" s="250">
        <f t="shared" si="11"/>
        <v>315030</v>
      </c>
      <c r="I662" s="483" t="s">
        <v>437</v>
      </c>
      <c r="J662" s="184" t="s">
        <v>2829</v>
      </c>
      <c r="K662" s="188"/>
    </row>
    <row r="663" spans="1:11" ht="15.6">
      <c r="A663" s="321">
        <v>45896</v>
      </c>
      <c r="B663" s="226" t="s">
        <v>2806</v>
      </c>
      <c r="C663" s="482" t="s">
        <v>196</v>
      </c>
      <c r="D663" s="482" t="s">
        <v>117</v>
      </c>
      <c r="E663" s="251"/>
      <c r="F663" s="251">
        <v>500</v>
      </c>
      <c r="G663" s="249"/>
      <c r="H663" s="250">
        <f t="shared" si="11"/>
        <v>314530</v>
      </c>
      <c r="I663" s="483" t="s">
        <v>437</v>
      </c>
      <c r="J663" s="226" t="s">
        <v>2817</v>
      </c>
      <c r="K663" s="188"/>
    </row>
    <row r="664" spans="1:11" ht="15.6">
      <c r="A664" s="321">
        <v>45896</v>
      </c>
      <c r="B664" s="226" t="s">
        <v>2794</v>
      </c>
      <c r="C664" s="226" t="s">
        <v>313</v>
      </c>
      <c r="D664" s="482" t="s">
        <v>117</v>
      </c>
      <c r="E664" s="251"/>
      <c r="F664" s="251">
        <v>1500</v>
      </c>
      <c r="G664" s="249"/>
      <c r="H664" s="250">
        <f t="shared" si="11"/>
        <v>313030</v>
      </c>
      <c r="I664" s="483" t="s">
        <v>437</v>
      </c>
      <c r="J664" s="226" t="s">
        <v>2828</v>
      </c>
      <c r="K664" s="188"/>
    </row>
    <row r="665" spans="1:11" ht="15.6">
      <c r="A665" s="321">
        <v>45896</v>
      </c>
      <c r="B665" s="226" t="s">
        <v>2795</v>
      </c>
      <c r="C665" s="482" t="s">
        <v>196</v>
      </c>
      <c r="D665" s="482" t="s">
        <v>117</v>
      </c>
      <c r="E665" s="251"/>
      <c r="F665" s="251">
        <v>500</v>
      </c>
      <c r="G665" s="249"/>
      <c r="H665" s="250">
        <f t="shared" si="11"/>
        <v>312530</v>
      </c>
      <c r="I665" s="483" t="s">
        <v>437</v>
      </c>
      <c r="J665" s="226" t="s">
        <v>2817</v>
      </c>
      <c r="K665" s="188"/>
    </row>
    <row r="666" spans="1:11" ht="15.6">
      <c r="A666" s="321">
        <v>45897</v>
      </c>
      <c r="B666" s="226" t="s">
        <v>2807</v>
      </c>
      <c r="C666" s="482" t="s">
        <v>196</v>
      </c>
      <c r="D666" s="482" t="s">
        <v>117</v>
      </c>
      <c r="E666" s="251"/>
      <c r="F666" s="251">
        <v>500</v>
      </c>
      <c r="G666" s="249"/>
      <c r="H666" s="250">
        <f t="shared" si="11"/>
        <v>312030</v>
      </c>
      <c r="I666" s="483" t="s">
        <v>437</v>
      </c>
      <c r="J666" s="226" t="s">
        <v>2817</v>
      </c>
      <c r="K666" s="188"/>
    </row>
    <row r="667" spans="1:11" ht="15.6">
      <c r="A667" s="321">
        <v>45897</v>
      </c>
      <c r="B667" s="226" t="s">
        <v>2797</v>
      </c>
      <c r="C667" s="226" t="s">
        <v>313</v>
      </c>
      <c r="D667" s="482" t="s">
        <v>117</v>
      </c>
      <c r="E667" s="251"/>
      <c r="F667" s="251">
        <v>1500</v>
      </c>
      <c r="G667" s="249"/>
      <c r="H667" s="250">
        <f t="shared" si="11"/>
        <v>310530</v>
      </c>
      <c r="I667" s="483" t="s">
        <v>437</v>
      </c>
      <c r="J667" s="226" t="s">
        <v>2828</v>
      </c>
      <c r="K667" s="188"/>
    </row>
    <row r="668" spans="1:11" ht="15.6">
      <c r="A668" s="321">
        <v>45897</v>
      </c>
      <c r="B668" s="226" t="s">
        <v>2795</v>
      </c>
      <c r="C668" s="482" t="s">
        <v>196</v>
      </c>
      <c r="D668" s="482" t="s">
        <v>117</v>
      </c>
      <c r="E668" s="251"/>
      <c r="F668" s="251">
        <v>500</v>
      </c>
      <c r="G668" s="249"/>
      <c r="H668" s="250">
        <f t="shared" si="11"/>
        <v>310030</v>
      </c>
      <c r="I668" s="483" t="s">
        <v>437</v>
      </c>
      <c r="J668" s="226" t="s">
        <v>2817</v>
      </c>
      <c r="K668" s="188"/>
    </row>
    <row r="669" spans="1:11" ht="15.6">
      <c r="A669" s="321">
        <v>45897</v>
      </c>
      <c r="B669" s="226" t="s">
        <v>2802</v>
      </c>
      <c r="C669" s="482" t="s">
        <v>196</v>
      </c>
      <c r="D669" s="482" t="s">
        <v>117</v>
      </c>
      <c r="E669" s="251"/>
      <c r="F669" s="251">
        <v>500</v>
      </c>
      <c r="G669" s="249"/>
      <c r="H669" s="250">
        <f t="shared" si="11"/>
        <v>309530</v>
      </c>
      <c r="I669" s="483" t="s">
        <v>437</v>
      </c>
      <c r="J669" s="226" t="s">
        <v>2817</v>
      </c>
      <c r="K669" s="188"/>
    </row>
    <row r="670" spans="1:11" ht="15.6">
      <c r="A670" s="321">
        <v>45897</v>
      </c>
      <c r="B670" s="226" t="s">
        <v>2803</v>
      </c>
      <c r="C670" s="482" t="s">
        <v>196</v>
      </c>
      <c r="D670" s="482" t="s">
        <v>117</v>
      </c>
      <c r="E670" s="251"/>
      <c r="F670" s="251">
        <v>500</v>
      </c>
      <c r="G670" s="249"/>
      <c r="H670" s="250">
        <f t="shared" si="11"/>
        <v>309030</v>
      </c>
      <c r="I670" s="483" t="s">
        <v>437</v>
      </c>
      <c r="J670" s="226" t="s">
        <v>2817</v>
      </c>
      <c r="K670" s="188"/>
    </row>
    <row r="671" spans="1:11" ht="15.6">
      <c r="A671" s="321">
        <v>45897</v>
      </c>
      <c r="B671" s="226" t="s">
        <v>2808</v>
      </c>
      <c r="C671" s="482" t="s">
        <v>196</v>
      </c>
      <c r="D671" s="482" t="s">
        <v>117</v>
      </c>
      <c r="E671" s="251"/>
      <c r="F671" s="251">
        <v>500</v>
      </c>
      <c r="G671" s="249"/>
      <c r="H671" s="250">
        <f t="shared" si="11"/>
        <v>308530</v>
      </c>
      <c r="I671" s="483" t="s">
        <v>437</v>
      </c>
      <c r="J671" s="226" t="s">
        <v>2817</v>
      </c>
      <c r="K671" s="188"/>
    </row>
    <row r="672" spans="1:11" ht="15.6">
      <c r="A672" s="321">
        <v>45897</v>
      </c>
      <c r="B672" s="226" t="s">
        <v>2809</v>
      </c>
      <c r="C672" s="482" t="s">
        <v>196</v>
      </c>
      <c r="D672" s="482" t="s">
        <v>117</v>
      </c>
      <c r="E672" s="251"/>
      <c r="F672" s="251">
        <v>500</v>
      </c>
      <c r="G672" s="249"/>
      <c r="H672" s="250">
        <f t="shared" si="11"/>
        <v>308030</v>
      </c>
      <c r="I672" s="483" t="s">
        <v>437</v>
      </c>
      <c r="J672" s="226" t="s">
        <v>2817</v>
      </c>
      <c r="K672" s="188"/>
    </row>
    <row r="673" spans="1:11" ht="15.6">
      <c r="A673" s="321">
        <v>45897</v>
      </c>
      <c r="B673" s="226" t="s">
        <v>2794</v>
      </c>
      <c r="C673" s="226" t="s">
        <v>313</v>
      </c>
      <c r="D673" s="482" t="s">
        <v>117</v>
      </c>
      <c r="E673" s="251"/>
      <c r="F673" s="251">
        <v>1500</v>
      </c>
      <c r="G673" s="249"/>
      <c r="H673" s="250">
        <f t="shared" si="11"/>
        <v>306530</v>
      </c>
      <c r="I673" s="483" t="s">
        <v>437</v>
      </c>
      <c r="J673" s="226" t="s">
        <v>2828</v>
      </c>
      <c r="K673" s="188"/>
    </row>
    <row r="674" spans="1:11" ht="15.6">
      <c r="A674" s="321">
        <v>45897</v>
      </c>
      <c r="B674" s="226" t="s">
        <v>2795</v>
      </c>
      <c r="C674" s="482" t="s">
        <v>196</v>
      </c>
      <c r="D674" s="482" t="s">
        <v>117</v>
      </c>
      <c r="E674" s="251"/>
      <c r="F674" s="251">
        <v>500</v>
      </c>
      <c r="G674" s="249"/>
      <c r="H674" s="250">
        <f t="shared" si="11"/>
        <v>306030</v>
      </c>
      <c r="I674" s="483" t="s">
        <v>437</v>
      </c>
      <c r="J674" s="226" t="s">
        <v>2817</v>
      </c>
      <c r="K674" s="188"/>
    </row>
    <row r="675" spans="1:11" ht="15.6">
      <c r="A675" s="321">
        <v>45898</v>
      </c>
      <c r="B675" s="226" t="s">
        <v>2810</v>
      </c>
      <c r="C675" s="482" t="s">
        <v>196</v>
      </c>
      <c r="D675" s="482" t="s">
        <v>117</v>
      </c>
      <c r="E675" s="251"/>
      <c r="F675" s="251">
        <v>500</v>
      </c>
      <c r="G675" s="249"/>
      <c r="H675" s="250">
        <f t="shared" ref="H675:H681" si="12">H674+E675-F675</f>
        <v>305530</v>
      </c>
      <c r="I675" s="483" t="s">
        <v>437</v>
      </c>
      <c r="J675" s="226" t="s">
        <v>2817</v>
      </c>
      <c r="K675" s="188"/>
    </row>
    <row r="676" spans="1:11" ht="15.6">
      <c r="A676" s="321">
        <v>45898</v>
      </c>
      <c r="B676" s="226" t="s">
        <v>2797</v>
      </c>
      <c r="C676" s="226" t="s">
        <v>313</v>
      </c>
      <c r="D676" s="482" t="s">
        <v>117</v>
      </c>
      <c r="E676" s="251"/>
      <c r="F676" s="251">
        <v>1500</v>
      </c>
      <c r="G676" s="249"/>
      <c r="H676" s="250">
        <f t="shared" si="12"/>
        <v>304030</v>
      </c>
      <c r="I676" s="483" t="s">
        <v>437</v>
      </c>
      <c r="J676" s="226" t="s">
        <v>2828</v>
      </c>
      <c r="K676" s="188"/>
    </row>
    <row r="677" spans="1:11" ht="15.6">
      <c r="A677" s="321">
        <v>45898</v>
      </c>
      <c r="B677" s="226" t="s">
        <v>2795</v>
      </c>
      <c r="C677" s="482" t="s">
        <v>196</v>
      </c>
      <c r="D677" s="482" t="s">
        <v>117</v>
      </c>
      <c r="E677" s="251"/>
      <c r="F677" s="251">
        <v>500</v>
      </c>
      <c r="G677" s="249"/>
      <c r="H677" s="250">
        <f t="shared" si="12"/>
        <v>303530</v>
      </c>
      <c r="I677" s="483" t="s">
        <v>437</v>
      </c>
      <c r="J677" s="226" t="s">
        <v>2817</v>
      </c>
      <c r="K677" s="188"/>
    </row>
    <row r="678" spans="1:11" ht="15.6">
      <c r="A678" s="321">
        <v>45898</v>
      </c>
      <c r="B678" s="226" t="s">
        <v>2811</v>
      </c>
      <c r="C678" s="482" t="s">
        <v>196</v>
      </c>
      <c r="D678" s="482" t="s">
        <v>117</v>
      </c>
      <c r="E678" s="251"/>
      <c r="F678" s="251">
        <v>500</v>
      </c>
      <c r="G678" s="249"/>
      <c r="H678" s="250">
        <f t="shared" si="12"/>
        <v>303030</v>
      </c>
      <c r="I678" s="483" t="s">
        <v>437</v>
      </c>
      <c r="J678" s="226" t="s">
        <v>2817</v>
      </c>
      <c r="K678" s="188"/>
    </row>
    <row r="679" spans="1:11" ht="15.6">
      <c r="A679" s="321">
        <v>45898</v>
      </c>
      <c r="B679" s="184" t="s">
        <v>1092</v>
      </c>
      <c r="C679" s="184" t="s">
        <v>2812</v>
      </c>
      <c r="D679" s="248" t="s">
        <v>2479</v>
      </c>
      <c r="E679" s="249"/>
      <c r="F679" s="249">
        <v>25200</v>
      </c>
      <c r="G679" s="249"/>
      <c r="H679" s="250">
        <f t="shared" si="12"/>
        <v>277830</v>
      </c>
      <c r="I679" s="248" t="s">
        <v>437</v>
      </c>
      <c r="J679" s="184" t="s">
        <v>2830</v>
      </c>
      <c r="K679" s="188"/>
    </row>
    <row r="680" spans="1:11" ht="15.6">
      <c r="A680" s="321">
        <v>45898</v>
      </c>
      <c r="B680" s="226" t="s">
        <v>2813</v>
      </c>
      <c r="C680" s="482" t="s">
        <v>196</v>
      </c>
      <c r="D680" s="482" t="s">
        <v>117</v>
      </c>
      <c r="E680" s="251"/>
      <c r="F680" s="251">
        <v>500</v>
      </c>
      <c r="G680" s="249"/>
      <c r="H680" s="250">
        <f t="shared" si="12"/>
        <v>277330</v>
      </c>
      <c r="I680" s="483" t="s">
        <v>437</v>
      </c>
      <c r="J680" s="226" t="s">
        <v>2817</v>
      </c>
      <c r="K680" s="188"/>
    </row>
    <row r="681" spans="1:11" ht="15.6">
      <c r="A681" s="321">
        <v>45898</v>
      </c>
      <c r="B681" s="226" t="s">
        <v>2814</v>
      </c>
      <c r="C681" s="482" t="s">
        <v>196</v>
      </c>
      <c r="D681" s="482" t="s">
        <v>117</v>
      </c>
      <c r="E681" s="251"/>
      <c r="F681" s="251">
        <v>500</v>
      </c>
      <c r="G681" s="249"/>
      <c r="H681" s="250">
        <f t="shared" si="12"/>
        <v>276830</v>
      </c>
      <c r="I681" s="483" t="s">
        <v>437</v>
      </c>
      <c r="J681" s="226" t="s">
        <v>2817</v>
      </c>
      <c r="K681" s="188"/>
    </row>
    <row r="682" spans="1:11" ht="15.6">
      <c r="A682" s="190"/>
      <c r="B682" s="188"/>
      <c r="C682" s="188"/>
      <c r="D682" s="188"/>
      <c r="E682" s="192">
        <f>SUM(E611:E681)</f>
        <v>656000</v>
      </c>
      <c r="F682" s="192">
        <f>SUM(F611:F681)</f>
        <v>384350</v>
      </c>
      <c r="G682" s="192"/>
      <c r="H682" s="193">
        <f>+E682-F682+H610</f>
        <v>276830</v>
      </c>
      <c r="I682" s="188"/>
      <c r="J682" s="188"/>
      <c r="K682" s="188"/>
    </row>
    <row r="683" spans="1:11" ht="15.6">
      <c r="A683" s="190"/>
      <c r="B683" s="188"/>
      <c r="C683" s="191" t="s">
        <v>461</v>
      </c>
      <c r="D683" s="188"/>
      <c r="E683" s="192"/>
      <c r="F683" s="192"/>
      <c r="G683" s="192"/>
      <c r="H683" s="193"/>
      <c r="I683" s="188"/>
      <c r="J683" s="188"/>
      <c r="K683" s="188"/>
    </row>
    <row r="684" spans="1:11" ht="15.6">
      <c r="A684" s="190"/>
      <c r="B684" s="188"/>
      <c r="C684" s="188"/>
      <c r="D684" s="188"/>
      <c r="E684" s="192"/>
      <c r="F684" s="192"/>
      <c r="G684" s="192"/>
      <c r="H684" s="193"/>
      <c r="I684" s="188"/>
      <c r="J684" s="188"/>
      <c r="K684" s="188"/>
    </row>
    <row r="685" spans="1:11" ht="15.6">
      <c r="A685" s="194" t="s">
        <v>0</v>
      </c>
      <c r="B685" s="195" t="s">
        <v>445</v>
      </c>
      <c r="C685" s="195" t="s">
        <v>446</v>
      </c>
      <c r="D685" s="195" t="s">
        <v>447</v>
      </c>
      <c r="E685" s="196" t="s">
        <v>448</v>
      </c>
      <c r="F685" s="196" t="s">
        <v>449</v>
      </c>
      <c r="G685" s="196"/>
      <c r="H685" s="197" t="s">
        <v>30</v>
      </c>
      <c r="I685" s="195" t="s">
        <v>450</v>
      </c>
      <c r="J685" s="195" t="s">
        <v>451</v>
      </c>
      <c r="K685" s="198"/>
    </row>
    <row r="686" spans="1:11" ht="15.6">
      <c r="A686" s="148">
        <v>45870</v>
      </c>
      <c r="B686" s="129" t="s">
        <v>2882</v>
      </c>
      <c r="C686" s="206"/>
      <c r="D686" s="184" t="s">
        <v>124</v>
      </c>
      <c r="E686" s="205"/>
      <c r="F686" s="205"/>
      <c r="G686" s="205"/>
      <c r="H686" s="168">
        <v>3050</v>
      </c>
      <c r="I686" s="189" t="s">
        <v>213</v>
      </c>
      <c r="J686" s="189"/>
      <c r="K686" s="188"/>
    </row>
    <row r="687" spans="1:11" ht="15.6">
      <c r="A687" s="415">
        <v>45882</v>
      </c>
      <c r="B687" s="226" t="s">
        <v>2831</v>
      </c>
      <c r="C687" s="226" t="s">
        <v>174</v>
      </c>
      <c r="D687" s="226" t="s">
        <v>120</v>
      </c>
      <c r="E687" s="251"/>
      <c r="F687" s="251">
        <v>1000</v>
      </c>
      <c r="G687" s="228"/>
      <c r="H687" s="168">
        <f t="shared" ref="H687:H767" si="13">+H686+E687-F687</f>
        <v>2050</v>
      </c>
      <c r="I687" s="226" t="s">
        <v>213</v>
      </c>
      <c r="J687" s="226" t="s">
        <v>2853</v>
      </c>
      <c r="K687" s="188"/>
    </row>
    <row r="688" spans="1:11" ht="15.6">
      <c r="A688" s="415">
        <v>45882</v>
      </c>
      <c r="B688" s="226" t="s">
        <v>2832</v>
      </c>
      <c r="C688" s="226" t="s">
        <v>124</v>
      </c>
      <c r="D688" s="226" t="s">
        <v>120</v>
      </c>
      <c r="E688" s="251">
        <v>120000</v>
      </c>
      <c r="F688" s="251"/>
      <c r="G688" s="228"/>
      <c r="H688" s="168">
        <f t="shared" si="13"/>
        <v>122050</v>
      </c>
      <c r="I688" s="226" t="s">
        <v>213</v>
      </c>
      <c r="J688" s="226" t="s">
        <v>2854</v>
      </c>
      <c r="K688" s="188"/>
    </row>
    <row r="689" spans="1:11" ht="15.6">
      <c r="A689" s="415">
        <v>45883</v>
      </c>
      <c r="B689" s="226" t="s">
        <v>2833</v>
      </c>
      <c r="C689" s="226" t="s">
        <v>174</v>
      </c>
      <c r="D689" s="226" t="s">
        <v>120</v>
      </c>
      <c r="E689" s="251"/>
      <c r="F689" s="251">
        <v>37000</v>
      </c>
      <c r="G689" s="228"/>
      <c r="H689" s="168">
        <f t="shared" si="13"/>
        <v>85050</v>
      </c>
      <c r="I689" s="226" t="s">
        <v>213</v>
      </c>
      <c r="J689" s="226" t="s">
        <v>2855</v>
      </c>
      <c r="K689" s="188"/>
    </row>
    <row r="690" spans="1:11" ht="15.6">
      <c r="A690" s="415">
        <v>45882</v>
      </c>
      <c r="B690" s="226" t="s">
        <v>2834</v>
      </c>
      <c r="C690" s="226" t="s">
        <v>174</v>
      </c>
      <c r="D690" s="226" t="s">
        <v>120</v>
      </c>
      <c r="E690" s="251"/>
      <c r="F690" s="251">
        <v>1000</v>
      </c>
      <c r="G690" s="228"/>
      <c r="H690" s="168">
        <f t="shared" si="13"/>
        <v>84050</v>
      </c>
      <c r="I690" s="226" t="s">
        <v>213</v>
      </c>
      <c r="J690" s="226" t="s">
        <v>2853</v>
      </c>
      <c r="K690" s="188"/>
    </row>
    <row r="691" spans="1:11" ht="15.6">
      <c r="A691" s="415">
        <v>45883</v>
      </c>
      <c r="B691" s="226" t="s">
        <v>2835</v>
      </c>
      <c r="C691" s="226" t="s">
        <v>174</v>
      </c>
      <c r="D691" s="226" t="s">
        <v>120</v>
      </c>
      <c r="E691" s="251"/>
      <c r="F691" s="251">
        <v>1000</v>
      </c>
      <c r="G691" s="228"/>
      <c r="H691" s="168">
        <f t="shared" si="13"/>
        <v>83050</v>
      </c>
      <c r="I691" s="226" t="s">
        <v>213</v>
      </c>
      <c r="J691" s="226" t="s">
        <v>2853</v>
      </c>
      <c r="K691" s="188"/>
    </row>
    <row r="692" spans="1:11" ht="15.6">
      <c r="A692" s="415">
        <v>45883</v>
      </c>
      <c r="B692" s="226" t="s">
        <v>2836</v>
      </c>
      <c r="C692" s="226" t="s">
        <v>174</v>
      </c>
      <c r="D692" s="226" t="s">
        <v>120</v>
      </c>
      <c r="E692" s="251"/>
      <c r="F692" s="251">
        <v>500</v>
      </c>
      <c r="G692" s="228"/>
      <c r="H692" s="168">
        <f t="shared" si="13"/>
        <v>82550</v>
      </c>
      <c r="I692" s="226" t="s">
        <v>213</v>
      </c>
      <c r="J692" s="226" t="s">
        <v>2853</v>
      </c>
      <c r="K692" s="188"/>
    </row>
    <row r="693" spans="1:11" ht="15.6">
      <c r="A693" s="415">
        <v>45883</v>
      </c>
      <c r="B693" s="226" t="s">
        <v>2837</v>
      </c>
      <c r="C693" s="226" t="s">
        <v>177</v>
      </c>
      <c r="D693" s="226" t="s">
        <v>120</v>
      </c>
      <c r="E693" s="251"/>
      <c r="F693" s="251">
        <v>200000</v>
      </c>
      <c r="G693" s="228"/>
      <c r="H693" s="168">
        <f t="shared" si="13"/>
        <v>-117450</v>
      </c>
      <c r="I693" s="226" t="s">
        <v>213</v>
      </c>
      <c r="J693" s="226" t="s">
        <v>2856</v>
      </c>
      <c r="K693" s="188"/>
    </row>
    <row r="694" spans="1:11" ht="15.6">
      <c r="A694" s="415">
        <v>45884</v>
      </c>
      <c r="B694" s="226" t="s">
        <v>2885</v>
      </c>
      <c r="C694" s="226" t="s">
        <v>177</v>
      </c>
      <c r="D694" s="226" t="s">
        <v>120</v>
      </c>
      <c r="E694" s="251"/>
      <c r="F694" s="251">
        <v>15000</v>
      </c>
      <c r="G694" s="228"/>
      <c r="H694" s="168">
        <f t="shared" si="13"/>
        <v>-132450</v>
      </c>
      <c r="I694" s="226" t="s">
        <v>213</v>
      </c>
      <c r="J694" s="226" t="s">
        <v>2857</v>
      </c>
      <c r="K694" s="188"/>
    </row>
    <row r="695" spans="1:11" ht="15.6">
      <c r="A695" s="415">
        <v>45884</v>
      </c>
      <c r="B695" s="226" t="s">
        <v>2838</v>
      </c>
      <c r="C695" s="226" t="s">
        <v>174</v>
      </c>
      <c r="D695" s="226" t="s">
        <v>120</v>
      </c>
      <c r="E695" s="251"/>
      <c r="F695" s="251">
        <v>500</v>
      </c>
      <c r="G695" s="228"/>
      <c r="H695" s="168">
        <f t="shared" si="13"/>
        <v>-132950</v>
      </c>
      <c r="I695" s="226" t="s">
        <v>213</v>
      </c>
      <c r="J695" s="226" t="s">
        <v>2853</v>
      </c>
      <c r="K695" s="188"/>
    </row>
    <row r="696" spans="1:11" ht="15.6">
      <c r="A696" s="415">
        <v>45884</v>
      </c>
      <c r="B696" s="184" t="s">
        <v>2460</v>
      </c>
      <c r="C696" s="248" t="s">
        <v>152</v>
      </c>
      <c r="D696" s="226" t="s">
        <v>120</v>
      </c>
      <c r="E696" s="251">
        <v>5000</v>
      </c>
      <c r="F696" s="251"/>
      <c r="G696" s="228"/>
      <c r="H696" s="168">
        <f t="shared" si="13"/>
        <v>-127950</v>
      </c>
      <c r="I696" s="226" t="s">
        <v>213</v>
      </c>
      <c r="J696" s="226" t="s">
        <v>2858</v>
      </c>
      <c r="K696" s="188"/>
    </row>
    <row r="697" spans="1:11" ht="15.6">
      <c r="A697" s="415">
        <v>45884</v>
      </c>
      <c r="B697" s="184" t="s">
        <v>2460</v>
      </c>
      <c r="C697" s="248" t="s">
        <v>152</v>
      </c>
      <c r="D697" s="226" t="s">
        <v>120</v>
      </c>
      <c r="E697" s="251"/>
      <c r="F697" s="251">
        <v>5000</v>
      </c>
      <c r="G697" s="228"/>
      <c r="H697" s="168">
        <f t="shared" si="13"/>
        <v>-132950</v>
      </c>
      <c r="I697" s="226" t="s">
        <v>213</v>
      </c>
      <c r="J697" s="226" t="s">
        <v>2858</v>
      </c>
      <c r="K697" s="188"/>
    </row>
    <row r="698" spans="1:11" ht="15.6">
      <c r="A698" s="415">
        <v>45885</v>
      </c>
      <c r="B698" s="226" t="s">
        <v>2839</v>
      </c>
      <c r="C698" s="226" t="s">
        <v>177</v>
      </c>
      <c r="D698" s="226" t="s">
        <v>120</v>
      </c>
      <c r="E698" s="251"/>
      <c r="F698" s="251">
        <v>15000</v>
      </c>
      <c r="G698" s="228"/>
      <c r="H698" s="168">
        <f t="shared" si="13"/>
        <v>-147950</v>
      </c>
      <c r="I698" s="226" t="s">
        <v>213</v>
      </c>
      <c r="J698" s="226" t="s">
        <v>2859</v>
      </c>
      <c r="K698" s="188"/>
    </row>
    <row r="699" spans="1:11" ht="15.6">
      <c r="A699" s="415">
        <v>45885</v>
      </c>
      <c r="B699" s="226" t="s">
        <v>2840</v>
      </c>
      <c r="C699" s="226" t="s">
        <v>174</v>
      </c>
      <c r="D699" s="226" t="s">
        <v>120</v>
      </c>
      <c r="E699" s="251"/>
      <c r="F699" s="251">
        <v>500</v>
      </c>
      <c r="G699" s="228"/>
      <c r="H699" s="168">
        <f t="shared" si="13"/>
        <v>-148450</v>
      </c>
      <c r="I699" s="226" t="s">
        <v>213</v>
      </c>
      <c r="J699" s="226" t="s">
        <v>2853</v>
      </c>
      <c r="K699" s="188"/>
    </row>
    <row r="700" spans="1:11" ht="15.6">
      <c r="A700" s="415">
        <v>45887</v>
      </c>
      <c r="B700" s="226" t="s">
        <v>2832</v>
      </c>
      <c r="C700" s="226" t="s">
        <v>124</v>
      </c>
      <c r="D700" s="226" t="s">
        <v>120</v>
      </c>
      <c r="E700" s="251">
        <v>196000</v>
      </c>
      <c r="F700" s="251"/>
      <c r="G700" s="228"/>
      <c r="H700" s="168">
        <f t="shared" si="13"/>
        <v>47550</v>
      </c>
      <c r="I700" s="226" t="s">
        <v>213</v>
      </c>
      <c r="J700" s="226" t="s">
        <v>2860</v>
      </c>
      <c r="K700" s="188"/>
    </row>
    <row r="701" spans="1:11" ht="15.6">
      <c r="A701" s="415">
        <v>45887</v>
      </c>
      <c r="B701" s="184" t="s">
        <v>2782</v>
      </c>
      <c r="C701" s="248" t="s">
        <v>152</v>
      </c>
      <c r="D701" s="226" t="s">
        <v>120</v>
      </c>
      <c r="E701" s="251">
        <v>10000</v>
      </c>
      <c r="F701" s="251"/>
      <c r="G701" s="228"/>
      <c r="H701" s="168">
        <f t="shared" si="13"/>
        <v>57550</v>
      </c>
      <c r="I701" s="226" t="s">
        <v>213</v>
      </c>
      <c r="J701" s="226" t="s">
        <v>2861</v>
      </c>
      <c r="K701" s="188"/>
    </row>
    <row r="702" spans="1:11" ht="15.6">
      <c r="A702" s="415">
        <v>45887</v>
      </c>
      <c r="B702" s="184" t="s">
        <v>2782</v>
      </c>
      <c r="C702" s="248" t="s">
        <v>152</v>
      </c>
      <c r="D702" s="226" t="s">
        <v>120</v>
      </c>
      <c r="E702" s="251"/>
      <c r="F702" s="251">
        <v>10000</v>
      </c>
      <c r="G702" s="228"/>
      <c r="H702" s="168">
        <f t="shared" si="13"/>
        <v>47550</v>
      </c>
      <c r="I702" s="226" t="s">
        <v>213</v>
      </c>
      <c r="J702" s="226" t="s">
        <v>2861</v>
      </c>
      <c r="K702" s="188"/>
    </row>
    <row r="703" spans="1:11" ht="15.6">
      <c r="A703" s="415">
        <v>45892</v>
      </c>
      <c r="B703" s="226" t="s">
        <v>2832</v>
      </c>
      <c r="C703" s="226" t="s">
        <v>124</v>
      </c>
      <c r="D703" s="226" t="s">
        <v>120</v>
      </c>
      <c r="E703" s="251">
        <v>90000</v>
      </c>
      <c r="F703" s="251"/>
      <c r="G703" s="228"/>
      <c r="H703" s="168">
        <f t="shared" si="13"/>
        <v>137550</v>
      </c>
      <c r="I703" s="226" t="s">
        <v>213</v>
      </c>
      <c r="J703" s="226" t="s">
        <v>2862</v>
      </c>
      <c r="K703" s="188"/>
    </row>
    <row r="704" spans="1:11" ht="15.6">
      <c r="A704" s="415">
        <v>45892</v>
      </c>
      <c r="B704" s="226" t="s">
        <v>2841</v>
      </c>
      <c r="C704" s="226" t="s">
        <v>174</v>
      </c>
      <c r="D704" s="226" t="s">
        <v>120</v>
      </c>
      <c r="E704" s="251"/>
      <c r="F704" s="251">
        <v>500</v>
      </c>
      <c r="G704" s="228"/>
      <c r="H704" s="168">
        <f t="shared" si="13"/>
        <v>137050</v>
      </c>
      <c r="I704" s="226" t="s">
        <v>213</v>
      </c>
      <c r="J704" s="226" t="s">
        <v>2853</v>
      </c>
      <c r="K704" s="188"/>
    </row>
    <row r="705" spans="1:11" ht="15.6">
      <c r="A705" s="415">
        <v>45892</v>
      </c>
      <c r="B705" s="226" t="s">
        <v>2842</v>
      </c>
      <c r="C705" s="226" t="s">
        <v>174</v>
      </c>
      <c r="D705" s="226" t="s">
        <v>120</v>
      </c>
      <c r="E705" s="251"/>
      <c r="F705" s="251">
        <v>500</v>
      </c>
      <c r="G705" s="228"/>
      <c r="H705" s="168">
        <f t="shared" si="13"/>
        <v>136550</v>
      </c>
      <c r="I705" s="226" t="s">
        <v>213</v>
      </c>
      <c r="J705" s="226" t="s">
        <v>2853</v>
      </c>
      <c r="K705" s="188"/>
    </row>
    <row r="706" spans="1:11" ht="15.6">
      <c r="A706" s="415">
        <v>45894</v>
      </c>
      <c r="B706" s="226" t="s">
        <v>2843</v>
      </c>
      <c r="C706" s="226" t="s">
        <v>174</v>
      </c>
      <c r="D706" s="226" t="s">
        <v>120</v>
      </c>
      <c r="E706" s="251"/>
      <c r="F706" s="251">
        <v>500</v>
      </c>
      <c r="G706" s="228"/>
      <c r="H706" s="168">
        <f t="shared" si="13"/>
        <v>136050</v>
      </c>
      <c r="I706" s="226" t="s">
        <v>213</v>
      </c>
      <c r="J706" s="226" t="s">
        <v>2853</v>
      </c>
      <c r="K706" s="188"/>
    </row>
    <row r="707" spans="1:11" ht="15.6">
      <c r="A707" s="415">
        <v>45894</v>
      </c>
      <c r="B707" s="226" t="s">
        <v>2844</v>
      </c>
      <c r="C707" s="226" t="s">
        <v>174</v>
      </c>
      <c r="D707" s="226" t="s">
        <v>120</v>
      </c>
      <c r="E707" s="251"/>
      <c r="F707" s="251">
        <v>500</v>
      </c>
      <c r="G707" s="228"/>
      <c r="H707" s="168">
        <f t="shared" si="13"/>
        <v>135550</v>
      </c>
      <c r="I707" s="226" t="s">
        <v>213</v>
      </c>
      <c r="J707" s="226" t="s">
        <v>2853</v>
      </c>
      <c r="K707" s="188"/>
    </row>
    <row r="708" spans="1:11" ht="15.6">
      <c r="A708" s="415">
        <v>45894</v>
      </c>
      <c r="B708" s="226" t="s">
        <v>2845</v>
      </c>
      <c r="C708" s="226" t="s">
        <v>177</v>
      </c>
      <c r="D708" s="226" t="s">
        <v>120</v>
      </c>
      <c r="E708" s="251"/>
      <c r="F708" s="251">
        <v>10000</v>
      </c>
      <c r="G708" s="228"/>
      <c r="H708" s="168">
        <f t="shared" si="13"/>
        <v>125550</v>
      </c>
      <c r="I708" s="226" t="s">
        <v>213</v>
      </c>
      <c r="J708" s="226" t="s">
        <v>2863</v>
      </c>
      <c r="K708" s="188"/>
    </row>
    <row r="709" spans="1:11" ht="15.6">
      <c r="A709" s="415">
        <v>45894</v>
      </c>
      <c r="B709" s="226" t="s">
        <v>2846</v>
      </c>
      <c r="C709" s="226" t="s">
        <v>174</v>
      </c>
      <c r="D709" s="226" t="s">
        <v>120</v>
      </c>
      <c r="E709" s="251"/>
      <c r="F709" s="251">
        <v>500</v>
      </c>
      <c r="G709" s="228"/>
      <c r="H709" s="168">
        <f t="shared" si="13"/>
        <v>125050</v>
      </c>
      <c r="I709" s="226" t="s">
        <v>213</v>
      </c>
      <c r="J709" s="226" t="s">
        <v>2853</v>
      </c>
      <c r="K709" s="188"/>
    </row>
    <row r="710" spans="1:11" ht="15.6">
      <c r="A710" s="415">
        <v>45895</v>
      </c>
      <c r="B710" s="226" t="s">
        <v>2847</v>
      </c>
      <c r="C710" s="226" t="s">
        <v>174</v>
      </c>
      <c r="D710" s="226" t="s">
        <v>120</v>
      </c>
      <c r="E710" s="251"/>
      <c r="F710" s="251">
        <v>500</v>
      </c>
      <c r="G710" s="228"/>
      <c r="H710" s="168">
        <f t="shared" si="13"/>
        <v>124550</v>
      </c>
      <c r="I710" s="226" t="s">
        <v>213</v>
      </c>
      <c r="J710" s="226" t="s">
        <v>2853</v>
      </c>
      <c r="K710" s="188"/>
    </row>
    <row r="711" spans="1:11" ht="15.6">
      <c r="A711" s="415">
        <v>45895</v>
      </c>
      <c r="B711" s="226" t="s">
        <v>2848</v>
      </c>
      <c r="C711" s="226" t="s">
        <v>174</v>
      </c>
      <c r="D711" s="226" t="s">
        <v>120</v>
      </c>
      <c r="E711" s="251"/>
      <c r="F711" s="251">
        <v>500</v>
      </c>
      <c r="G711" s="228"/>
      <c r="H711" s="168">
        <f t="shared" si="13"/>
        <v>124050</v>
      </c>
      <c r="I711" s="226" t="s">
        <v>213</v>
      </c>
      <c r="J711" s="226" t="s">
        <v>2853</v>
      </c>
      <c r="K711" s="188"/>
    </row>
    <row r="712" spans="1:11" ht="15.6">
      <c r="A712" s="415">
        <v>45895</v>
      </c>
      <c r="B712" s="226" t="s">
        <v>2849</v>
      </c>
      <c r="C712" s="226" t="s">
        <v>174</v>
      </c>
      <c r="D712" s="226" t="s">
        <v>120</v>
      </c>
      <c r="E712" s="251"/>
      <c r="F712" s="251">
        <v>500</v>
      </c>
      <c r="G712" s="228"/>
      <c r="H712" s="168">
        <f t="shared" si="13"/>
        <v>123550</v>
      </c>
      <c r="I712" s="226" t="s">
        <v>213</v>
      </c>
      <c r="J712" s="226" t="s">
        <v>2853</v>
      </c>
      <c r="K712" s="188"/>
    </row>
    <row r="713" spans="1:11" ht="15.6">
      <c r="A713" s="415">
        <v>45895</v>
      </c>
      <c r="B713" s="226" t="s">
        <v>2846</v>
      </c>
      <c r="C713" s="226" t="s">
        <v>174</v>
      </c>
      <c r="D713" s="226" t="s">
        <v>120</v>
      </c>
      <c r="E713" s="251"/>
      <c r="F713" s="251">
        <v>500</v>
      </c>
      <c r="G713" s="228"/>
      <c r="H713" s="168">
        <f t="shared" si="13"/>
        <v>123050</v>
      </c>
      <c r="I713" s="226" t="s">
        <v>213</v>
      </c>
      <c r="J713" s="226" t="s">
        <v>2853</v>
      </c>
      <c r="K713" s="188"/>
    </row>
    <row r="714" spans="1:11" ht="15.6">
      <c r="A714" s="506">
        <v>45895</v>
      </c>
      <c r="B714" s="182" t="s">
        <v>2956</v>
      </c>
      <c r="C714" s="182" t="s">
        <v>2088</v>
      </c>
      <c r="D714" s="182" t="s">
        <v>120</v>
      </c>
      <c r="E714" s="435">
        <v>6000</v>
      </c>
      <c r="F714" s="251"/>
      <c r="G714" s="228"/>
      <c r="H714" s="168">
        <f t="shared" si="13"/>
        <v>129050</v>
      </c>
      <c r="I714" s="129" t="s">
        <v>213</v>
      </c>
      <c r="J714" s="182" t="s">
        <v>2411</v>
      </c>
      <c r="K714" s="188"/>
    </row>
    <row r="715" spans="1:11" ht="15.6">
      <c r="A715" s="505">
        <v>45895</v>
      </c>
      <c r="B715" s="182" t="s">
        <v>2957</v>
      </c>
      <c r="C715" s="182" t="s">
        <v>2088</v>
      </c>
      <c r="D715" s="182" t="s">
        <v>120</v>
      </c>
      <c r="E715" s="435">
        <v>6000</v>
      </c>
      <c r="F715" s="251"/>
      <c r="G715" s="228"/>
      <c r="H715" s="168">
        <f t="shared" si="13"/>
        <v>135050</v>
      </c>
      <c r="I715" s="129" t="s">
        <v>213</v>
      </c>
      <c r="J715" s="182" t="s">
        <v>2411</v>
      </c>
      <c r="K715" s="188"/>
    </row>
    <row r="716" spans="1:11" ht="15.6">
      <c r="A716" s="506">
        <v>45895</v>
      </c>
      <c r="B716" s="182" t="s">
        <v>2958</v>
      </c>
      <c r="C716" s="182" t="s">
        <v>2088</v>
      </c>
      <c r="D716" s="182" t="s">
        <v>120</v>
      </c>
      <c r="E716" s="435">
        <v>6000</v>
      </c>
      <c r="F716" s="251"/>
      <c r="G716" s="228"/>
      <c r="H716" s="168">
        <f t="shared" si="13"/>
        <v>141050</v>
      </c>
      <c r="I716" s="129" t="s">
        <v>213</v>
      </c>
      <c r="J716" s="182" t="s">
        <v>2411</v>
      </c>
      <c r="K716" s="188"/>
    </row>
    <row r="717" spans="1:11" ht="15.6">
      <c r="A717" s="505">
        <v>45895</v>
      </c>
      <c r="B717" s="182" t="s">
        <v>2959</v>
      </c>
      <c r="C717" s="182" t="s">
        <v>2088</v>
      </c>
      <c r="D717" s="182" t="s">
        <v>120</v>
      </c>
      <c r="E717" s="435">
        <v>6000</v>
      </c>
      <c r="F717" s="251"/>
      <c r="G717" s="228"/>
      <c r="H717" s="168">
        <f t="shared" si="13"/>
        <v>147050</v>
      </c>
      <c r="I717" s="129" t="s">
        <v>213</v>
      </c>
      <c r="J717" s="182" t="s">
        <v>2411</v>
      </c>
      <c r="K717" s="188"/>
    </row>
    <row r="718" spans="1:11" ht="15.6">
      <c r="A718" s="506">
        <v>45895</v>
      </c>
      <c r="B718" s="182" t="s">
        <v>2960</v>
      </c>
      <c r="C718" s="182" t="s">
        <v>2088</v>
      </c>
      <c r="D718" s="182" t="s">
        <v>120</v>
      </c>
      <c r="E718" s="435">
        <v>6000</v>
      </c>
      <c r="F718" s="251"/>
      <c r="G718" s="228"/>
      <c r="H718" s="168">
        <f t="shared" si="13"/>
        <v>153050</v>
      </c>
      <c r="I718" s="129" t="s">
        <v>213</v>
      </c>
      <c r="J718" s="182" t="s">
        <v>2411</v>
      </c>
      <c r="K718" s="188"/>
    </row>
    <row r="719" spans="1:11" ht="15.6">
      <c r="A719" s="505">
        <v>45895</v>
      </c>
      <c r="B719" s="182" t="s">
        <v>2961</v>
      </c>
      <c r="C719" s="182" t="s">
        <v>2088</v>
      </c>
      <c r="D719" s="182" t="s">
        <v>120</v>
      </c>
      <c r="E719" s="435">
        <v>6000</v>
      </c>
      <c r="F719" s="251"/>
      <c r="G719" s="228"/>
      <c r="H719" s="168">
        <f t="shared" si="13"/>
        <v>159050</v>
      </c>
      <c r="I719" s="129" t="s">
        <v>213</v>
      </c>
      <c r="J719" s="182" t="s">
        <v>2411</v>
      </c>
      <c r="K719" s="188"/>
    </row>
    <row r="720" spans="1:11" ht="15.6">
      <c r="A720" s="506">
        <v>45895</v>
      </c>
      <c r="B720" s="182" t="s">
        <v>2962</v>
      </c>
      <c r="C720" s="182" t="s">
        <v>2088</v>
      </c>
      <c r="D720" s="182" t="s">
        <v>120</v>
      </c>
      <c r="E720" s="435">
        <v>6000</v>
      </c>
      <c r="F720" s="251"/>
      <c r="G720" s="228"/>
      <c r="H720" s="168">
        <f t="shared" si="13"/>
        <v>165050</v>
      </c>
      <c r="I720" s="129" t="s">
        <v>213</v>
      </c>
      <c r="J720" s="182" t="s">
        <v>2411</v>
      </c>
      <c r="K720" s="188"/>
    </row>
    <row r="721" spans="1:11" ht="15.6">
      <c r="A721" s="505">
        <v>45895</v>
      </c>
      <c r="B721" s="182" t="s">
        <v>2963</v>
      </c>
      <c r="C721" s="182" t="s">
        <v>2088</v>
      </c>
      <c r="D721" s="182" t="s">
        <v>120</v>
      </c>
      <c r="E721" s="435">
        <v>6000</v>
      </c>
      <c r="F721" s="251"/>
      <c r="G721" s="228"/>
      <c r="H721" s="168">
        <f t="shared" si="13"/>
        <v>171050</v>
      </c>
      <c r="I721" s="129" t="s">
        <v>213</v>
      </c>
      <c r="J721" s="182" t="s">
        <v>2411</v>
      </c>
      <c r="K721" s="188"/>
    </row>
    <row r="722" spans="1:11" ht="15.6">
      <c r="A722" s="506">
        <v>45895</v>
      </c>
      <c r="B722" s="182" t="s">
        <v>2964</v>
      </c>
      <c r="C722" s="182" t="s">
        <v>2088</v>
      </c>
      <c r="D722" s="182" t="s">
        <v>120</v>
      </c>
      <c r="E722" s="435">
        <v>6000</v>
      </c>
      <c r="F722" s="251"/>
      <c r="G722" s="228"/>
      <c r="H722" s="168">
        <f t="shared" si="13"/>
        <v>177050</v>
      </c>
      <c r="I722" s="129" t="s">
        <v>213</v>
      </c>
      <c r="J722" s="182" t="s">
        <v>2411</v>
      </c>
      <c r="K722" s="188"/>
    </row>
    <row r="723" spans="1:11" ht="15.6">
      <c r="A723" s="505">
        <v>45895</v>
      </c>
      <c r="B723" s="182" t="s">
        <v>2965</v>
      </c>
      <c r="C723" s="182" t="s">
        <v>2088</v>
      </c>
      <c r="D723" s="182" t="s">
        <v>120</v>
      </c>
      <c r="E723" s="435">
        <v>6000</v>
      </c>
      <c r="F723" s="251"/>
      <c r="G723" s="228"/>
      <c r="H723" s="168">
        <f t="shared" si="13"/>
        <v>183050</v>
      </c>
      <c r="I723" s="129" t="s">
        <v>213</v>
      </c>
      <c r="J723" s="182" t="s">
        <v>2411</v>
      </c>
      <c r="K723" s="188"/>
    </row>
    <row r="724" spans="1:11" ht="15.6">
      <c r="A724" s="506">
        <v>45895</v>
      </c>
      <c r="B724" s="182" t="s">
        <v>2966</v>
      </c>
      <c r="C724" s="182" t="s">
        <v>2088</v>
      </c>
      <c r="D724" s="182" t="s">
        <v>120</v>
      </c>
      <c r="E724" s="435">
        <v>6000</v>
      </c>
      <c r="F724" s="251"/>
      <c r="G724" s="228"/>
      <c r="H724" s="168">
        <f t="shared" si="13"/>
        <v>189050</v>
      </c>
      <c r="I724" s="129" t="s">
        <v>213</v>
      </c>
      <c r="J724" s="182" t="s">
        <v>2411</v>
      </c>
      <c r="K724" s="188"/>
    </row>
    <row r="725" spans="1:11" ht="15.6">
      <c r="A725" s="505">
        <v>45895</v>
      </c>
      <c r="B725" s="182" t="s">
        <v>2967</v>
      </c>
      <c r="C725" s="182" t="s">
        <v>2088</v>
      </c>
      <c r="D725" s="182" t="s">
        <v>120</v>
      </c>
      <c r="E725" s="435">
        <v>6000</v>
      </c>
      <c r="F725" s="251"/>
      <c r="G725" s="228"/>
      <c r="H725" s="168">
        <f t="shared" si="13"/>
        <v>195050</v>
      </c>
      <c r="I725" s="129" t="s">
        <v>213</v>
      </c>
      <c r="J725" s="182" t="s">
        <v>2411</v>
      </c>
      <c r="K725" s="188"/>
    </row>
    <row r="726" spans="1:11" ht="15.6">
      <c r="A726" s="506">
        <v>45895</v>
      </c>
      <c r="B726" s="182" t="s">
        <v>2968</v>
      </c>
      <c r="C726" s="182" t="s">
        <v>2088</v>
      </c>
      <c r="D726" s="182" t="s">
        <v>120</v>
      </c>
      <c r="E726" s="435">
        <v>6000</v>
      </c>
      <c r="F726" s="251"/>
      <c r="G726" s="228"/>
      <c r="H726" s="168">
        <f t="shared" si="13"/>
        <v>201050</v>
      </c>
      <c r="I726" s="129" t="s">
        <v>213</v>
      </c>
      <c r="J726" s="182" t="s">
        <v>2411</v>
      </c>
      <c r="K726" s="188"/>
    </row>
    <row r="727" spans="1:11" ht="15.6">
      <c r="A727" s="505">
        <v>45895</v>
      </c>
      <c r="B727" s="182" t="s">
        <v>2969</v>
      </c>
      <c r="C727" s="182" t="s">
        <v>2088</v>
      </c>
      <c r="D727" s="182" t="s">
        <v>120</v>
      </c>
      <c r="E727" s="435">
        <v>6000</v>
      </c>
      <c r="F727" s="251"/>
      <c r="G727" s="228"/>
      <c r="H727" s="168">
        <f t="shared" si="13"/>
        <v>207050</v>
      </c>
      <c r="I727" s="129" t="s">
        <v>213</v>
      </c>
      <c r="J727" s="182" t="s">
        <v>2411</v>
      </c>
      <c r="K727" s="188"/>
    </row>
    <row r="728" spans="1:11" ht="15.6">
      <c r="A728" s="506">
        <v>45895</v>
      </c>
      <c r="B728" s="182" t="s">
        <v>2970</v>
      </c>
      <c r="C728" s="182" t="s">
        <v>2088</v>
      </c>
      <c r="D728" s="182" t="s">
        <v>120</v>
      </c>
      <c r="E728" s="435">
        <v>10000</v>
      </c>
      <c r="F728" s="251"/>
      <c r="G728" s="228"/>
      <c r="H728" s="168">
        <f t="shared" si="13"/>
        <v>217050</v>
      </c>
      <c r="I728" s="129" t="s">
        <v>213</v>
      </c>
      <c r="J728" s="182" t="s">
        <v>2413</v>
      </c>
      <c r="K728" s="188"/>
    </row>
    <row r="729" spans="1:11" ht="15.6">
      <c r="A729" s="505">
        <v>45895</v>
      </c>
      <c r="B729" s="182" t="s">
        <v>2971</v>
      </c>
      <c r="C729" s="182" t="s">
        <v>2088</v>
      </c>
      <c r="D729" s="182" t="s">
        <v>120</v>
      </c>
      <c r="E729" s="435">
        <v>10000</v>
      </c>
      <c r="F729" s="251"/>
      <c r="G729" s="228"/>
      <c r="H729" s="168">
        <f t="shared" si="13"/>
        <v>227050</v>
      </c>
      <c r="I729" s="129" t="s">
        <v>213</v>
      </c>
      <c r="J729" s="182" t="s">
        <v>2413</v>
      </c>
      <c r="K729" s="188"/>
    </row>
    <row r="730" spans="1:11" ht="15.6">
      <c r="A730" s="506">
        <v>45895</v>
      </c>
      <c r="B730" s="182" t="s">
        <v>2972</v>
      </c>
      <c r="C730" s="182" t="s">
        <v>2088</v>
      </c>
      <c r="D730" s="182" t="s">
        <v>120</v>
      </c>
      <c r="E730" s="435">
        <v>10000</v>
      </c>
      <c r="F730" s="251"/>
      <c r="G730" s="228"/>
      <c r="H730" s="168">
        <f t="shared" si="13"/>
        <v>237050</v>
      </c>
      <c r="I730" s="129" t="s">
        <v>213</v>
      </c>
      <c r="J730" s="182" t="s">
        <v>2413</v>
      </c>
      <c r="K730" s="188"/>
    </row>
    <row r="731" spans="1:11" ht="15.6">
      <c r="A731" s="505">
        <v>45895</v>
      </c>
      <c r="B731" s="182" t="s">
        <v>2973</v>
      </c>
      <c r="C731" s="182" t="s">
        <v>2088</v>
      </c>
      <c r="D731" s="182" t="s">
        <v>120</v>
      </c>
      <c r="E731" s="435">
        <v>10000</v>
      </c>
      <c r="F731" s="251"/>
      <c r="G731" s="228"/>
      <c r="H731" s="168">
        <f t="shared" si="13"/>
        <v>247050</v>
      </c>
      <c r="I731" s="129" t="s">
        <v>213</v>
      </c>
      <c r="J731" s="182" t="s">
        <v>2413</v>
      </c>
      <c r="K731" s="188"/>
    </row>
    <row r="732" spans="1:11" ht="15.6">
      <c r="A732" s="130">
        <v>45895</v>
      </c>
      <c r="B732" s="182" t="s">
        <v>2943</v>
      </c>
      <c r="C732" s="129" t="s">
        <v>2088</v>
      </c>
      <c r="D732" s="129" t="s">
        <v>120</v>
      </c>
      <c r="E732" s="221">
        <v>6000</v>
      </c>
      <c r="F732" s="251"/>
      <c r="G732" s="228"/>
      <c r="H732" s="168">
        <f t="shared" si="13"/>
        <v>253050</v>
      </c>
      <c r="I732" s="129" t="s">
        <v>213</v>
      </c>
      <c r="J732" s="182" t="s">
        <v>2415</v>
      </c>
      <c r="K732" s="188"/>
    </row>
    <row r="733" spans="1:11" ht="15.6">
      <c r="A733" s="506">
        <v>45895</v>
      </c>
      <c r="B733" s="182" t="s">
        <v>2956</v>
      </c>
      <c r="C733" s="182" t="s">
        <v>2088</v>
      </c>
      <c r="D733" s="182" t="s">
        <v>120</v>
      </c>
      <c r="E733" s="221"/>
      <c r="F733" s="435">
        <v>6000</v>
      </c>
      <c r="G733" s="228"/>
      <c r="H733" s="168">
        <f t="shared" si="13"/>
        <v>247050</v>
      </c>
      <c r="I733" s="129" t="s">
        <v>213</v>
      </c>
      <c r="J733" s="182" t="s">
        <v>2411</v>
      </c>
      <c r="K733" s="188"/>
    </row>
    <row r="734" spans="1:11" ht="15.6">
      <c r="A734" s="505">
        <v>45895</v>
      </c>
      <c r="B734" s="182" t="s">
        <v>2957</v>
      </c>
      <c r="C734" s="182" t="s">
        <v>2088</v>
      </c>
      <c r="D734" s="182" t="s">
        <v>120</v>
      </c>
      <c r="E734" s="221"/>
      <c r="F734" s="435">
        <v>6000</v>
      </c>
      <c r="G734" s="228"/>
      <c r="H734" s="168">
        <f t="shared" si="13"/>
        <v>241050</v>
      </c>
      <c r="I734" s="129" t="s">
        <v>213</v>
      </c>
      <c r="J734" s="182" t="s">
        <v>2411</v>
      </c>
      <c r="K734" s="188"/>
    </row>
    <row r="735" spans="1:11" ht="15.6">
      <c r="A735" s="506">
        <v>45895</v>
      </c>
      <c r="B735" s="182" t="s">
        <v>2958</v>
      </c>
      <c r="C735" s="182" t="s">
        <v>2088</v>
      </c>
      <c r="D735" s="182" t="s">
        <v>120</v>
      </c>
      <c r="E735" s="221"/>
      <c r="F735" s="435">
        <v>6000</v>
      </c>
      <c r="G735" s="228"/>
      <c r="H735" s="168">
        <f t="shared" si="13"/>
        <v>235050</v>
      </c>
      <c r="I735" s="129" t="s">
        <v>213</v>
      </c>
      <c r="J735" s="182" t="s">
        <v>2411</v>
      </c>
      <c r="K735" s="188"/>
    </row>
    <row r="736" spans="1:11" ht="15.6">
      <c r="A736" s="505">
        <v>45895</v>
      </c>
      <c r="B736" s="182" t="s">
        <v>2959</v>
      </c>
      <c r="C736" s="182" t="s">
        <v>2088</v>
      </c>
      <c r="D736" s="182" t="s">
        <v>120</v>
      </c>
      <c r="E736" s="221"/>
      <c r="F736" s="435">
        <v>6000</v>
      </c>
      <c r="G736" s="228"/>
      <c r="H736" s="168">
        <f t="shared" si="13"/>
        <v>229050</v>
      </c>
      <c r="I736" s="129" t="s">
        <v>213</v>
      </c>
      <c r="J736" s="182" t="s">
        <v>2411</v>
      </c>
      <c r="K736" s="188"/>
    </row>
    <row r="737" spans="1:11" ht="15.6">
      <c r="A737" s="506">
        <v>45895</v>
      </c>
      <c r="B737" s="182" t="s">
        <v>2960</v>
      </c>
      <c r="C737" s="182" t="s">
        <v>2088</v>
      </c>
      <c r="D737" s="182" t="s">
        <v>120</v>
      </c>
      <c r="E737" s="221"/>
      <c r="F737" s="435">
        <v>6000</v>
      </c>
      <c r="G737" s="228"/>
      <c r="H737" s="168">
        <f t="shared" si="13"/>
        <v>223050</v>
      </c>
      <c r="I737" s="129" t="s">
        <v>213</v>
      </c>
      <c r="J737" s="182" t="s">
        <v>2411</v>
      </c>
      <c r="K737" s="188"/>
    </row>
    <row r="738" spans="1:11" ht="15.6">
      <c r="A738" s="505">
        <v>45895</v>
      </c>
      <c r="B738" s="182" t="s">
        <v>2961</v>
      </c>
      <c r="C738" s="182" t="s">
        <v>2088</v>
      </c>
      <c r="D738" s="182" t="s">
        <v>120</v>
      </c>
      <c r="E738" s="221"/>
      <c r="F738" s="435">
        <v>6000</v>
      </c>
      <c r="G738" s="228"/>
      <c r="H738" s="168">
        <f t="shared" si="13"/>
        <v>217050</v>
      </c>
      <c r="I738" s="129" t="s">
        <v>213</v>
      </c>
      <c r="J738" s="182" t="s">
        <v>2411</v>
      </c>
      <c r="K738" s="188"/>
    </row>
    <row r="739" spans="1:11" ht="15.6">
      <c r="A739" s="506">
        <v>45895</v>
      </c>
      <c r="B739" s="182" t="s">
        <v>2962</v>
      </c>
      <c r="C739" s="182" t="s">
        <v>2088</v>
      </c>
      <c r="D739" s="182" t="s">
        <v>120</v>
      </c>
      <c r="E739" s="251"/>
      <c r="F739" s="435">
        <v>6000</v>
      </c>
      <c r="G739" s="228"/>
      <c r="H739" s="168">
        <f t="shared" si="13"/>
        <v>211050</v>
      </c>
      <c r="I739" s="129" t="s">
        <v>213</v>
      </c>
      <c r="J739" s="182" t="s">
        <v>2411</v>
      </c>
      <c r="K739" s="188"/>
    </row>
    <row r="740" spans="1:11" ht="15.6">
      <c r="A740" s="505">
        <v>45895</v>
      </c>
      <c r="B740" s="182" t="s">
        <v>2963</v>
      </c>
      <c r="C740" s="182" t="s">
        <v>2088</v>
      </c>
      <c r="D740" s="182" t="s">
        <v>120</v>
      </c>
      <c r="E740" s="251"/>
      <c r="F740" s="435">
        <v>6000</v>
      </c>
      <c r="G740" s="228"/>
      <c r="H740" s="168">
        <f t="shared" si="13"/>
        <v>205050</v>
      </c>
      <c r="I740" s="129" t="s">
        <v>213</v>
      </c>
      <c r="J740" s="182" t="s">
        <v>2411</v>
      </c>
      <c r="K740" s="188"/>
    </row>
    <row r="741" spans="1:11" ht="15.6">
      <c r="A741" s="506">
        <v>45895</v>
      </c>
      <c r="B741" s="182" t="s">
        <v>2964</v>
      </c>
      <c r="C741" s="182" t="s">
        <v>2088</v>
      </c>
      <c r="D741" s="182" t="s">
        <v>120</v>
      </c>
      <c r="E741" s="251"/>
      <c r="F741" s="435">
        <v>6000</v>
      </c>
      <c r="G741" s="228"/>
      <c r="H741" s="168">
        <f t="shared" si="13"/>
        <v>199050</v>
      </c>
      <c r="I741" s="129" t="s">
        <v>213</v>
      </c>
      <c r="J741" s="182" t="s">
        <v>2411</v>
      </c>
      <c r="K741" s="188"/>
    </row>
    <row r="742" spans="1:11" ht="15.6">
      <c r="A742" s="505">
        <v>45895</v>
      </c>
      <c r="B742" s="182" t="s">
        <v>2965</v>
      </c>
      <c r="C742" s="182" t="s">
        <v>2088</v>
      </c>
      <c r="D742" s="182" t="s">
        <v>120</v>
      </c>
      <c r="E742" s="251"/>
      <c r="F742" s="435">
        <v>6000</v>
      </c>
      <c r="G742" s="228"/>
      <c r="H742" s="168">
        <f t="shared" si="13"/>
        <v>193050</v>
      </c>
      <c r="I742" s="129" t="s">
        <v>213</v>
      </c>
      <c r="J742" s="182" t="s">
        <v>2411</v>
      </c>
      <c r="K742" s="188"/>
    </row>
    <row r="743" spans="1:11" ht="15.6">
      <c r="A743" s="506">
        <v>45895</v>
      </c>
      <c r="B743" s="182" t="s">
        <v>2966</v>
      </c>
      <c r="C743" s="182" t="s">
        <v>2088</v>
      </c>
      <c r="D743" s="182" t="s">
        <v>120</v>
      </c>
      <c r="E743" s="251"/>
      <c r="F743" s="435">
        <v>6000</v>
      </c>
      <c r="G743" s="228"/>
      <c r="H743" s="168">
        <f t="shared" si="13"/>
        <v>187050</v>
      </c>
      <c r="I743" s="129" t="s">
        <v>213</v>
      </c>
      <c r="J743" s="182" t="s">
        <v>2411</v>
      </c>
      <c r="K743" s="188"/>
    </row>
    <row r="744" spans="1:11" ht="15.6">
      <c r="A744" s="505">
        <v>45895</v>
      </c>
      <c r="B744" s="182" t="s">
        <v>2967</v>
      </c>
      <c r="C744" s="182" t="s">
        <v>2088</v>
      </c>
      <c r="D744" s="182" t="s">
        <v>120</v>
      </c>
      <c r="E744" s="251"/>
      <c r="F744" s="435">
        <v>6000</v>
      </c>
      <c r="G744" s="228"/>
      <c r="H744" s="168">
        <f t="shared" si="13"/>
        <v>181050</v>
      </c>
      <c r="I744" s="129" t="s">
        <v>213</v>
      </c>
      <c r="J744" s="182" t="s">
        <v>2411</v>
      </c>
      <c r="K744" s="188"/>
    </row>
    <row r="745" spans="1:11" ht="15.6">
      <c r="A745" s="506">
        <v>45895</v>
      </c>
      <c r="B745" s="182" t="s">
        <v>2968</v>
      </c>
      <c r="C745" s="182" t="s">
        <v>2088</v>
      </c>
      <c r="D745" s="182" t="s">
        <v>120</v>
      </c>
      <c r="E745" s="251"/>
      <c r="F745" s="435">
        <v>6000</v>
      </c>
      <c r="G745" s="228"/>
      <c r="H745" s="168">
        <f t="shared" si="13"/>
        <v>175050</v>
      </c>
      <c r="I745" s="129" t="s">
        <v>213</v>
      </c>
      <c r="J745" s="182" t="s">
        <v>2411</v>
      </c>
      <c r="K745" s="188"/>
    </row>
    <row r="746" spans="1:11" ht="15.6">
      <c r="A746" s="505">
        <v>45895</v>
      </c>
      <c r="B746" s="182" t="s">
        <v>2969</v>
      </c>
      <c r="C746" s="182" t="s">
        <v>2088</v>
      </c>
      <c r="D746" s="182" t="s">
        <v>120</v>
      </c>
      <c r="E746" s="251"/>
      <c r="F746" s="435">
        <v>6000</v>
      </c>
      <c r="G746" s="228"/>
      <c r="H746" s="168">
        <f t="shared" si="13"/>
        <v>169050</v>
      </c>
      <c r="I746" s="129" t="s">
        <v>213</v>
      </c>
      <c r="J746" s="182" t="s">
        <v>2411</v>
      </c>
      <c r="K746" s="188"/>
    </row>
    <row r="747" spans="1:11" ht="15.6">
      <c r="A747" s="506">
        <v>45895</v>
      </c>
      <c r="B747" s="182" t="s">
        <v>2970</v>
      </c>
      <c r="C747" s="182" t="s">
        <v>2088</v>
      </c>
      <c r="D747" s="182" t="s">
        <v>120</v>
      </c>
      <c r="E747" s="251"/>
      <c r="F747" s="435">
        <v>10000</v>
      </c>
      <c r="G747" s="228"/>
      <c r="H747" s="168">
        <f t="shared" si="13"/>
        <v>159050</v>
      </c>
      <c r="I747" s="129" t="s">
        <v>213</v>
      </c>
      <c r="J747" s="182" t="s">
        <v>2413</v>
      </c>
      <c r="K747" s="188"/>
    </row>
    <row r="748" spans="1:11" ht="15.6">
      <c r="A748" s="505">
        <v>45895</v>
      </c>
      <c r="B748" s="182" t="s">
        <v>2971</v>
      </c>
      <c r="C748" s="182" t="s">
        <v>2088</v>
      </c>
      <c r="D748" s="182" t="s">
        <v>120</v>
      </c>
      <c r="E748" s="251"/>
      <c r="F748" s="435">
        <v>10000</v>
      </c>
      <c r="G748" s="228"/>
      <c r="H748" s="168">
        <f t="shared" si="13"/>
        <v>149050</v>
      </c>
      <c r="I748" s="129" t="s">
        <v>213</v>
      </c>
      <c r="J748" s="182" t="s">
        <v>2413</v>
      </c>
      <c r="K748" s="188"/>
    </row>
    <row r="749" spans="1:11" ht="15.6">
      <c r="A749" s="506">
        <v>45895</v>
      </c>
      <c r="B749" s="182" t="s">
        <v>2972</v>
      </c>
      <c r="C749" s="182" t="s">
        <v>2088</v>
      </c>
      <c r="D749" s="182" t="s">
        <v>120</v>
      </c>
      <c r="E749" s="251"/>
      <c r="F749" s="435">
        <v>10000</v>
      </c>
      <c r="G749" s="228"/>
      <c r="H749" s="168">
        <f t="shared" si="13"/>
        <v>139050</v>
      </c>
      <c r="I749" s="129" t="s">
        <v>213</v>
      </c>
      <c r="J749" s="182" t="s">
        <v>2413</v>
      </c>
      <c r="K749" s="188"/>
    </row>
    <row r="750" spans="1:11" ht="15.6">
      <c r="A750" s="505">
        <v>45895</v>
      </c>
      <c r="B750" s="182" t="s">
        <v>2973</v>
      </c>
      <c r="C750" s="182" t="s">
        <v>2088</v>
      </c>
      <c r="D750" s="182" t="s">
        <v>120</v>
      </c>
      <c r="E750" s="251"/>
      <c r="F750" s="435">
        <v>10000</v>
      </c>
      <c r="G750" s="228"/>
      <c r="H750" s="168">
        <f t="shared" si="13"/>
        <v>129050</v>
      </c>
      <c r="I750" s="129" t="s">
        <v>213</v>
      </c>
      <c r="J750" s="182" t="s">
        <v>2413</v>
      </c>
      <c r="K750" s="188"/>
    </row>
    <row r="751" spans="1:11" ht="15.6">
      <c r="A751" s="130">
        <v>45895</v>
      </c>
      <c r="B751" s="182" t="s">
        <v>2943</v>
      </c>
      <c r="C751" s="129" t="s">
        <v>2088</v>
      </c>
      <c r="D751" s="129" t="s">
        <v>120</v>
      </c>
      <c r="E751" s="251"/>
      <c r="F751" s="221">
        <v>6000</v>
      </c>
      <c r="G751" s="228"/>
      <c r="H751" s="168">
        <f t="shared" si="13"/>
        <v>123050</v>
      </c>
      <c r="I751" s="129" t="s">
        <v>213</v>
      </c>
      <c r="J751" s="182" t="s">
        <v>2415</v>
      </c>
      <c r="K751" s="188"/>
    </row>
    <row r="752" spans="1:11" ht="15.6">
      <c r="A752" s="415">
        <v>45896</v>
      </c>
      <c r="B752" s="226" t="s">
        <v>2843</v>
      </c>
      <c r="C752" s="226" t="s">
        <v>174</v>
      </c>
      <c r="D752" s="226" t="s">
        <v>120</v>
      </c>
      <c r="E752" s="251"/>
      <c r="F752" s="251">
        <v>500</v>
      </c>
      <c r="G752" s="225"/>
      <c r="H752" s="168">
        <f t="shared" si="13"/>
        <v>122550</v>
      </c>
      <c r="I752" s="129" t="s">
        <v>213</v>
      </c>
      <c r="J752" s="226" t="s">
        <v>2853</v>
      </c>
      <c r="K752" s="188"/>
    </row>
    <row r="753" spans="1:11" ht="15.6">
      <c r="A753" s="415">
        <v>45896</v>
      </c>
      <c r="B753" s="226" t="s">
        <v>2846</v>
      </c>
      <c r="C753" s="226" t="s">
        <v>174</v>
      </c>
      <c r="D753" s="226" t="s">
        <v>120</v>
      </c>
      <c r="E753" s="251"/>
      <c r="F753" s="251">
        <v>500</v>
      </c>
      <c r="G753" s="225"/>
      <c r="H753" s="168">
        <f t="shared" si="13"/>
        <v>122050</v>
      </c>
      <c r="I753" s="129" t="s">
        <v>213</v>
      </c>
      <c r="J753" s="226" t="s">
        <v>2853</v>
      </c>
      <c r="K753" s="188"/>
    </row>
    <row r="754" spans="1:11" ht="15.6">
      <c r="A754" s="415">
        <v>45896</v>
      </c>
      <c r="B754" s="226" t="s">
        <v>2832</v>
      </c>
      <c r="C754" s="226" t="s">
        <v>124</v>
      </c>
      <c r="D754" s="226" t="s">
        <v>120</v>
      </c>
      <c r="E754" s="251">
        <v>108000</v>
      </c>
      <c r="F754" s="251"/>
      <c r="G754" s="225"/>
      <c r="H754" s="168">
        <f t="shared" si="13"/>
        <v>230050</v>
      </c>
      <c r="I754" s="129" t="s">
        <v>213</v>
      </c>
      <c r="J754" s="226" t="s">
        <v>2864</v>
      </c>
      <c r="K754" s="188"/>
    </row>
    <row r="755" spans="1:11" ht="15.6">
      <c r="A755" s="415">
        <v>45897</v>
      </c>
      <c r="B755" s="226" t="s">
        <v>2850</v>
      </c>
      <c r="C755" s="226" t="s">
        <v>174</v>
      </c>
      <c r="D755" s="226" t="s">
        <v>120</v>
      </c>
      <c r="E755" s="251"/>
      <c r="F755" s="251">
        <v>500</v>
      </c>
      <c r="G755" s="225"/>
      <c r="H755" s="168">
        <f t="shared" si="13"/>
        <v>229550</v>
      </c>
      <c r="I755" s="129" t="s">
        <v>213</v>
      </c>
      <c r="J755" s="226" t="s">
        <v>2853</v>
      </c>
      <c r="K755" s="188"/>
    </row>
    <row r="756" spans="1:11" ht="15.6">
      <c r="A756" s="415">
        <v>45897</v>
      </c>
      <c r="B756" s="226" t="s">
        <v>2840</v>
      </c>
      <c r="C756" s="226" t="s">
        <v>174</v>
      </c>
      <c r="D756" s="226" t="s">
        <v>120</v>
      </c>
      <c r="E756" s="251"/>
      <c r="F756" s="251">
        <v>500</v>
      </c>
      <c r="G756" s="225"/>
      <c r="H756" s="168">
        <f t="shared" si="13"/>
        <v>229050</v>
      </c>
      <c r="I756" s="129" t="s">
        <v>213</v>
      </c>
      <c r="J756" s="226" t="s">
        <v>2853</v>
      </c>
      <c r="K756" s="188"/>
    </row>
    <row r="757" spans="1:11" ht="15.6">
      <c r="A757" s="415">
        <v>45898</v>
      </c>
      <c r="B757" s="226" t="s">
        <v>2851</v>
      </c>
      <c r="C757" s="226" t="s">
        <v>174</v>
      </c>
      <c r="D757" s="226" t="s">
        <v>120</v>
      </c>
      <c r="E757" s="251"/>
      <c r="F757" s="251">
        <v>500</v>
      </c>
      <c r="G757" s="225"/>
      <c r="H757" s="168">
        <f t="shared" si="13"/>
        <v>228550</v>
      </c>
      <c r="I757" s="129" t="s">
        <v>213</v>
      </c>
      <c r="J757" s="226" t="s">
        <v>2853</v>
      </c>
      <c r="K757" s="188"/>
    </row>
    <row r="758" spans="1:11" ht="15.6">
      <c r="A758" s="506">
        <v>45898</v>
      </c>
      <c r="B758" s="182" t="s">
        <v>2978</v>
      </c>
      <c r="C758" s="182" t="s">
        <v>2088</v>
      </c>
      <c r="D758" s="182" t="s">
        <v>120</v>
      </c>
      <c r="E758" s="435">
        <v>50000</v>
      </c>
      <c r="F758" s="251"/>
      <c r="G758" s="225"/>
      <c r="H758" s="168">
        <f t="shared" si="13"/>
        <v>278550</v>
      </c>
      <c r="I758" s="129" t="s">
        <v>213</v>
      </c>
      <c r="J758" s="182" t="s">
        <v>2440</v>
      </c>
      <c r="K758" s="188"/>
    </row>
    <row r="759" spans="1:11" ht="15.6">
      <c r="A759" s="505">
        <v>45898</v>
      </c>
      <c r="B759" s="182" t="s">
        <v>2977</v>
      </c>
      <c r="C759" s="182" t="s">
        <v>2088</v>
      </c>
      <c r="D759" s="182" t="s">
        <v>120</v>
      </c>
      <c r="E759" s="435">
        <v>50000</v>
      </c>
      <c r="F759" s="251"/>
      <c r="G759" s="225"/>
      <c r="H759" s="168">
        <f t="shared" si="13"/>
        <v>328550</v>
      </c>
      <c r="I759" s="129" t="s">
        <v>213</v>
      </c>
      <c r="J759" s="182" t="s">
        <v>2440</v>
      </c>
      <c r="K759" s="188"/>
    </row>
    <row r="760" spans="1:11" ht="15.6">
      <c r="A760" s="506">
        <v>45898</v>
      </c>
      <c r="B760" s="182" t="s">
        <v>2976</v>
      </c>
      <c r="C760" s="182" t="s">
        <v>2088</v>
      </c>
      <c r="D760" s="182" t="s">
        <v>120</v>
      </c>
      <c r="E760" s="435">
        <v>50000</v>
      </c>
      <c r="F760" s="251"/>
      <c r="G760" s="225"/>
      <c r="H760" s="168">
        <f t="shared" si="13"/>
        <v>378550</v>
      </c>
      <c r="I760" s="129" t="s">
        <v>213</v>
      </c>
      <c r="J760" s="182" t="s">
        <v>2440</v>
      </c>
      <c r="K760" s="188"/>
    </row>
    <row r="761" spans="1:11" ht="15.6">
      <c r="A761" s="505">
        <v>45898</v>
      </c>
      <c r="B761" s="182" t="s">
        <v>2975</v>
      </c>
      <c r="C761" s="182" t="s">
        <v>2088</v>
      </c>
      <c r="D761" s="182" t="s">
        <v>120</v>
      </c>
      <c r="E761" s="435">
        <v>50000</v>
      </c>
      <c r="F761" s="251"/>
      <c r="G761" s="225"/>
      <c r="H761" s="168">
        <f t="shared" si="13"/>
        <v>428550</v>
      </c>
      <c r="I761" s="129" t="s">
        <v>213</v>
      </c>
      <c r="J761" s="182" t="s">
        <v>2440</v>
      </c>
      <c r="K761" s="188"/>
    </row>
    <row r="762" spans="1:11" ht="15.6">
      <c r="A762" s="506">
        <v>45898</v>
      </c>
      <c r="B762" s="182" t="s">
        <v>2978</v>
      </c>
      <c r="C762" s="182" t="s">
        <v>2088</v>
      </c>
      <c r="D762" s="182" t="s">
        <v>120</v>
      </c>
      <c r="E762" s="251"/>
      <c r="F762" s="435">
        <v>50000</v>
      </c>
      <c r="G762" s="225"/>
      <c r="H762" s="168">
        <f t="shared" si="13"/>
        <v>378550</v>
      </c>
      <c r="I762" s="129" t="s">
        <v>213</v>
      </c>
      <c r="J762" s="182" t="s">
        <v>2440</v>
      </c>
      <c r="K762" s="188"/>
    </row>
    <row r="763" spans="1:11" ht="15.6">
      <c r="A763" s="505">
        <v>45898</v>
      </c>
      <c r="B763" s="182" t="s">
        <v>2977</v>
      </c>
      <c r="C763" s="182" t="s">
        <v>2088</v>
      </c>
      <c r="D763" s="182" t="s">
        <v>120</v>
      </c>
      <c r="E763" s="251"/>
      <c r="F763" s="435">
        <v>50000</v>
      </c>
      <c r="G763" s="225"/>
      <c r="H763" s="168">
        <f t="shared" si="13"/>
        <v>328550</v>
      </c>
      <c r="I763" s="129" t="s">
        <v>213</v>
      </c>
      <c r="J763" s="182" t="s">
        <v>2440</v>
      </c>
      <c r="K763" s="188"/>
    </row>
    <row r="764" spans="1:11" ht="15.6">
      <c r="A764" s="506">
        <v>45898</v>
      </c>
      <c r="B764" s="182" t="s">
        <v>2976</v>
      </c>
      <c r="C764" s="182" t="s">
        <v>2088</v>
      </c>
      <c r="D764" s="182" t="s">
        <v>120</v>
      </c>
      <c r="E764" s="251"/>
      <c r="F764" s="435">
        <v>50000</v>
      </c>
      <c r="G764" s="225"/>
      <c r="H764" s="168">
        <f t="shared" si="13"/>
        <v>278550</v>
      </c>
      <c r="I764" s="129" t="s">
        <v>213</v>
      </c>
      <c r="J764" s="182" t="s">
        <v>2440</v>
      </c>
      <c r="K764" s="188"/>
    </row>
    <row r="765" spans="1:11" ht="15.6">
      <c r="A765" s="505">
        <v>45898</v>
      </c>
      <c r="B765" s="182" t="s">
        <v>2975</v>
      </c>
      <c r="C765" s="182" t="s">
        <v>2088</v>
      </c>
      <c r="D765" s="182" t="s">
        <v>120</v>
      </c>
      <c r="E765" s="251"/>
      <c r="F765" s="435">
        <v>50000</v>
      </c>
      <c r="G765" s="225"/>
      <c r="H765" s="168">
        <f t="shared" si="13"/>
        <v>228550</v>
      </c>
      <c r="I765" s="129" t="s">
        <v>213</v>
      </c>
      <c r="J765" s="182" t="s">
        <v>2440</v>
      </c>
      <c r="K765" s="188"/>
    </row>
    <row r="766" spans="1:11" ht="15.6">
      <c r="A766" s="415">
        <v>45898</v>
      </c>
      <c r="B766" s="226" t="s">
        <v>2832</v>
      </c>
      <c r="C766" s="226" t="s">
        <v>124</v>
      </c>
      <c r="D766" s="226" t="s">
        <v>120</v>
      </c>
      <c r="E766" s="251">
        <v>75000</v>
      </c>
      <c r="F766" s="251"/>
      <c r="G766" s="225"/>
      <c r="H766" s="168">
        <f t="shared" si="13"/>
        <v>303550</v>
      </c>
      <c r="I766" s="129" t="s">
        <v>213</v>
      </c>
      <c r="J766" s="226" t="s">
        <v>2865</v>
      </c>
      <c r="K766" s="188"/>
    </row>
    <row r="767" spans="1:11" ht="15.6">
      <c r="A767" s="415">
        <v>45898</v>
      </c>
      <c r="B767" s="226" t="s">
        <v>2852</v>
      </c>
      <c r="C767" s="226" t="s">
        <v>174</v>
      </c>
      <c r="D767" s="226" t="s">
        <v>120</v>
      </c>
      <c r="E767" s="251"/>
      <c r="F767" s="251">
        <v>500</v>
      </c>
      <c r="G767" s="225"/>
      <c r="H767" s="168">
        <f t="shared" si="13"/>
        <v>303050</v>
      </c>
      <c r="I767" s="129" t="s">
        <v>213</v>
      </c>
      <c r="J767" s="226" t="s">
        <v>2853</v>
      </c>
      <c r="K767" s="188"/>
    </row>
    <row r="768" spans="1:11" ht="15.6">
      <c r="A768" s="137"/>
      <c r="B768" s="138"/>
      <c r="C768" s="138"/>
      <c r="D768" s="138"/>
      <c r="E768" s="140">
        <f>SUM(E686:E767)</f>
        <v>934000</v>
      </c>
      <c r="F768" s="140">
        <f>SUM(F686:F767)</f>
        <v>634000</v>
      </c>
      <c r="G768" s="140"/>
      <c r="H768" s="141">
        <f>+E768+H686-F768</f>
        <v>303050</v>
      </c>
      <c r="I768" s="138"/>
      <c r="J768" s="138"/>
      <c r="K768" s="138"/>
    </row>
    <row r="769" spans="1:11" ht="15.6">
      <c r="A769" s="137"/>
      <c r="B769" s="138"/>
      <c r="C769" s="138"/>
      <c r="D769" s="138"/>
      <c r="E769" s="140"/>
      <c r="F769" s="140"/>
      <c r="G769" s="140"/>
      <c r="H769" s="141"/>
      <c r="I769" s="138"/>
      <c r="J769" s="138"/>
      <c r="K769" s="138"/>
    </row>
    <row r="771" spans="1:11" ht="15.6">
      <c r="A771" s="183"/>
      <c r="B771" s="558" t="s">
        <v>1820</v>
      </c>
      <c r="C771" s="558"/>
      <c r="D771" s="558"/>
      <c r="E771" s="558"/>
      <c r="F771" s="192"/>
      <c r="G771" s="192"/>
      <c r="H771" s="211"/>
      <c r="I771" s="188"/>
      <c r="J771" s="188"/>
    </row>
    <row r="772" spans="1:11" ht="15.6">
      <c r="A772" s="190"/>
      <c r="B772" s="188"/>
      <c r="C772" s="188"/>
      <c r="D772" s="188"/>
      <c r="E772" s="192"/>
      <c r="F772" s="192"/>
      <c r="G772" s="192"/>
      <c r="H772" s="193"/>
      <c r="I772" s="188"/>
      <c r="J772" s="188"/>
    </row>
    <row r="773" spans="1:11" ht="15.6">
      <c r="A773" s="194" t="s">
        <v>0</v>
      </c>
      <c r="B773" s="195" t="s">
        <v>445</v>
      </c>
      <c r="C773" s="195" t="s">
        <v>446</v>
      </c>
      <c r="D773" s="195" t="s">
        <v>447</v>
      </c>
      <c r="E773" s="196" t="s">
        <v>448</v>
      </c>
      <c r="F773" s="322" t="s">
        <v>449</v>
      </c>
      <c r="G773" s="324"/>
      <c r="H773" s="323" t="s">
        <v>30</v>
      </c>
      <c r="I773" s="195" t="s">
        <v>450</v>
      </c>
      <c r="J773" s="195" t="s">
        <v>451</v>
      </c>
    </row>
    <row r="774" spans="1:11" ht="15.6">
      <c r="A774" s="148">
        <v>45870</v>
      </c>
      <c r="B774" s="182" t="s">
        <v>2882</v>
      </c>
      <c r="C774" s="182"/>
      <c r="D774" s="182"/>
      <c r="E774" s="185"/>
      <c r="F774" s="185"/>
      <c r="G774" s="254"/>
      <c r="H774" s="181">
        <v>47</v>
      </c>
      <c r="I774" s="182" t="s">
        <v>187</v>
      </c>
      <c r="J774" s="182"/>
    </row>
    <row r="775" spans="1:11">
      <c r="A775" s="227">
        <v>45883</v>
      </c>
      <c r="B775" s="76" t="s">
        <v>2866</v>
      </c>
      <c r="C775" s="76" t="s">
        <v>124</v>
      </c>
      <c r="D775" s="76" t="s">
        <v>117</v>
      </c>
      <c r="E775" s="76">
        <v>20000</v>
      </c>
      <c r="F775" s="76"/>
      <c r="G775" s="76"/>
      <c r="H775" s="247">
        <f t="shared" ref="H775:H796" si="14">H774+E775-F775</f>
        <v>20047</v>
      </c>
      <c r="I775" s="76" t="s">
        <v>187</v>
      </c>
      <c r="J775" s="76" t="s">
        <v>2879</v>
      </c>
    </row>
    <row r="776" spans="1:11">
      <c r="A776" s="227">
        <v>45883</v>
      </c>
      <c r="B776" s="76" t="s">
        <v>2867</v>
      </c>
      <c r="C776" s="76" t="s">
        <v>174</v>
      </c>
      <c r="D776" s="76" t="s">
        <v>117</v>
      </c>
      <c r="E776" s="76"/>
      <c r="F776" s="76">
        <v>1500</v>
      </c>
      <c r="G776" s="76"/>
      <c r="H776" s="247">
        <f t="shared" si="14"/>
        <v>18547</v>
      </c>
      <c r="I776" s="76" t="s">
        <v>187</v>
      </c>
      <c r="J776" s="76" t="s">
        <v>2880</v>
      </c>
    </row>
    <row r="777" spans="1:11">
      <c r="A777" s="227">
        <v>45883</v>
      </c>
      <c r="B777" s="76" t="s">
        <v>2868</v>
      </c>
      <c r="C777" s="76" t="s">
        <v>174</v>
      </c>
      <c r="D777" s="76" t="s">
        <v>117</v>
      </c>
      <c r="E777" s="76"/>
      <c r="F777" s="76">
        <v>1500</v>
      </c>
      <c r="G777" s="76"/>
      <c r="H777" s="247">
        <f t="shared" si="14"/>
        <v>17047</v>
      </c>
      <c r="I777" s="76" t="s">
        <v>187</v>
      </c>
      <c r="J777" s="76" t="s">
        <v>2880</v>
      </c>
    </row>
    <row r="778" spans="1:11">
      <c r="A778" s="227">
        <v>45887</v>
      </c>
      <c r="B778" s="76" t="s">
        <v>2869</v>
      </c>
      <c r="C778" s="76" t="s">
        <v>152</v>
      </c>
      <c r="D778" s="76" t="s">
        <v>117</v>
      </c>
      <c r="E778" s="76">
        <v>10000</v>
      </c>
      <c r="F778" s="76"/>
      <c r="G778" s="76"/>
      <c r="H778" s="247">
        <f t="shared" si="14"/>
        <v>27047</v>
      </c>
      <c r="I778" s="76" t="s">
        <v>187</v>
      </c>
      <c r="J778" s="76" t="s">
        <v>2881</v>
      </c>
    </row>
    <row r="779" spans="1:11">
      <c r="A779" s="227">
        <v>45887</v>
      </c>
      <c r="B779" s="76" t="s">
        <v>2869</v>
      </c>
      <c r="C779" s="76" t="s">
        <v>152</v>
      </c>
      <c r="D779" s="76" t="s">
        <v>117</v>
      </c>
      <c r="E779" s="76"/>
      <c r="F779" s="76">
        <v>10000</v>
      </c>
      <c r="G779" s="76"/>
      <c r="H779" s="247">
        <f t="shared" si="14"/>
        <v>17047</v>
      </c>
      <c r="I779" s="76" t="s">
        <v>187</v>
      </c>
      <c r="J779" s="76" t="s">
        <v>2881</v>
      </c>
    </row>
    <row r="780" spans="1:11">
      <c r="A780" s="227">
        <v>45888</v>
      </c>
      <c r="B780" s="76" t="s">
        <v>2870</v>
      </c>
      <c r="C780" s="76" t="s">
        <v>174</v>
      </c>
      <c r="D780" s="76" t="s">
        <v>117</v>
      </c>
      <c r="E780" s="76"/>
      <c r="F780" s="76">
        <v>1000</v>
      </c>
      <c r="G780" s="76"/>
      <c r="H780" s="247">
        <f t="shared" si="14"/>
        <v>16047</v>
      </c>
      <c r="I780" s="76" t="s">
        <v>187</v>
      </c>
      <c r="J780" s="76" t="s">
        <v>2880</v>
      </c>
    </row>
    <row r="781" spans="1:11">
      <c r="A781" s="227">
        <v>45888</v>
      </c>
      <c r="B781" s="76" t="s">
        <v>2871</v>
      </c>
      <c r="C781" s="76" t="s">
        <v>174</v>
      </c>
      <c r="D781" s="76" t="s">
        <v>117</v>
      </c>
      <c r="E781" s="76"/>
      <c r="F781" s="76">
        <v>1000</v>
      </c>
      <c r="G781" s="76"/>
      <c r="H781" s="247">
        <f t="shared" si="14"/>
        <v>15047</v>
      </c>
      <c r="I781" s="76" t="s">
        <v>187</v>
      </c>
      <c r="J781" s="76" t="s">
        <v>2880</v>
      </c>
    </row>
    <row r="782" spans="1:11">
      <c r="A782" s="227">
        <v>45888</v>
      </c>
      <c r="B782" s="76" t="s">
        <v>2872</v>
      </c>
      <c r="C782" s="76" t="s">
        <v>174</v>
      </c>
      <c r="D782" s="76" t="s">
        <v>117</v>
      </c>
      <c r="E782" s="76"/>
      <c r="F782" s="76">
        <v>1000</v>
      </c>
      <c r="G782" s="76"/>
      <c r="H782" s="247">
        <f t="shared" si="14"/>
        <v>14047</v>
      </c>
      <c r="I782" s="76" t="s">
        <v>187</v>
      </c>
      <c r="J782" s="76" t="s">
        <v>2880</v>
      </c>
    </row>
    <row r="783" spans="1:11">
      <c r="A783" s="227">
        <v>45889</v>
      </c>
      <c r="B783" s="76" t="s">
        <v>2873</v>
      </c>
      <c r="C783" s="76" t="s">
        <v>174</v>
      </c>
      <c r="D783" s="76" t="s">
        <v>117</v>
      </c>
      <c r="E783" s="76"/>
      <c r="F783" s="76">
        <v>3000</v>
      </c>
      <c r="G783" s="76"/>
      <c r="H783" s="247">
        <f t="shared" si="14"/>
        <v>11047</v>
      </c>
      <c r="I783" s="76" t="s">
        <v>187</v>
      </c>
      <c r="J783" s="76" t="s">
        <v>2880</v>
      </c>
    </row>
    <row r="784" spans="1:11">
      <c r="A784" s="227">
        <v>45889</v>
      </c>
      <c r="B784" s="76" t="s">
        <v>2872</v>
      </c>
      <c r="C784" s="76" t="s">
        <v>174</v>
      </c>
      <c r="D784" s="76" t="s">
        <v>117</v>
      </c>
      <c r="E784" s="76"/>
      <c r="F784" s="76">
        <v>1000</v>
      </c>
      <c r="G784" s="76"/>
      <c r="H784" s="247">
        <f t="shared" si="14"/>
        <v>10047</v>
      </c>
      <c r="I784" s="76" t="s">
        <v>187</v>
      </c>
      <c r="J784" s="76" t="s">
        <v>2880</v>
      </c>
    </row>
    <row r="785" spans="1:10">
      <c r="A785" s="227">
        <v>45889</v>
      </c>
      <c r="B785" s="76" t="s">
        <v>2874</v>
      </c>
      <c r="C785" s="76" t="s">
        <v>174</v>
      </c>
      <c r="D785" s="76" t="s">
        <v>117</v>
      </c>
      <c r="E785" s="76"/>
      <c r="F785" s="76">
        <v>1500</v>
      </c>
      <c r="G785" s="76"/>
      <c r="H785" s="247">
        <f t="shared" si="14"/>
        <v>8547</v>
      </c>
      <c r="I785" s="76" t="s">
        <v>187</v>
      </c>
      <c r="J785" s="76" t="s">
        <v>2880</v>
      </c>
    </row>
    <row r="786" spans="1:10">
      <c r="A786" s="227">
        <v>45889</v>
      </c>
      <c r="B786" s="76" t="s">
        <v>2875</v>
      </c>
      <c r="C786" s="76" t="s">
        <v>174</v>
      </c>
      <c r="D786" s="76" t="s">
        <v>117</v>
      </c>
      <c r="E786" s="76"/>
      <c r="F786" s="76">
        <v>1500</v>
      </c>
      <c r="G786" s="76"/>
      <c r="H786" s="247">
        <f t="shared" si="14"/>
        <v>7047</v>
      </c>
      <c r="I786" s="76" t="s">
        <v>187</v>
      </c>
      <c r="J786" s="76" t="s">
        <v>2880</v>
      </c>
    </row>
    <row r="787" spans="1:10">
      <c r="A787" s="227">
        <v>45891</v>
      </c>
      <c r="B787" s="76" t="s">
        <v>2876</v>
      </c>
      <c r="C787" s="76" t="s">
        <v>174</v>
      </c>
      <c r="D787" s="76" t="s">
        <v>117</v>
      </c>
      <c r="E787" s="76"/>
      <c r="F787" s="76">
        <v>500</v>
      </c>
      <c r="G787" s="76"/>
      <c r="H787" s="247">
        <f t="shared" si="14"/>
        <v>6547</v>
      </c>
      <c r="I787" s="76" t="s">
        <v>187</v>
      </c>
      <c r="J787" s="76" t="s">
        <v>2880</v>
      </c>
    </row>
    <row r="788" spans="1:10">
      <c r="A788" s="227">
        <v>45891</v>
      </c>
      <c r="B788" s="76" t="s">
        <v>2877</v>
      </c>
      <c r="C788" s="76" t="s">
        <v>174</v>
      </c>
      <c r="D788" s="76" t="s">
        <v>117</v>
      </c>
      <c r="E788" s="76"/>
      <c r="F788" s="76">
        <v>500</v>
      </c>
      <c r="G788" s="76"/>
      <c r="H788" s="247">
        <f t="shared" si="14"/>
        <v>6047</v>
      </c>
      <c r="I788" s="76" t="s">
        <v>187</v>
      </c>
      <c r="J788" s="76" t="s">
        <v>2880</v>
      </c>
    </row>
    <row r="789" spans="1:10">
      <c r="A789" s="130">
        <v>45894</v>
      </c>
      <c r="B789" s="76" t="s">
        <v>2402</v>
      </c>
      <c r="C789" s="76" t="s">
        <v>1542</v>
      </c>
      <c r="D789" s="76" t="s">
        <v>118</v>
      </c>
      <c r="E789" s="221">
        <v>35000</v>
      </c>
      <c r="F789" s="76"/>
      <c r="G789" s="76"/>
      <c r="H789" s="247">
        <f t="shared" si="14"/>
        <v>41047</v>
      </c>
      <c r="I789" s="76" t="s">
        <v>187</v>
      </c>
      <c r="J789" s="129" t="s">
        <v>2403</v>
      </c>
    </row>
    <row r="790" spans="1:10">
      <c r="A790" s="130">
        <v>45894</v>
      </c>
      <c r="B790" s="76" t="s">
        <v>2404</v>
      </c>
      <c r="C790" s="76" t="s">
        <v>304</v>
      </c>
      <c r="D790" s="76" t="s">
        <v>118</v>
      </c>
      <c r="E790" s="221">
        <v>5000</v>
      </c>
      <c r="F790" s="76"/>
      <c r="G790" s="76"/>
      <c r="H790" s="247">
        <f t="shared" si="14"/>
        <v>46047</v>
      </c>
      <c r="I790" s="76" t="s">
        <v>187</v>
      </c>
      <c r="J790" s="129" t="s">
        <v>2405</v>
      </c>
    </row>
    <row r="791" spans="1:10">
      <c r="A791" s="130">
        <v>45894</v>
      </c>
      <c r="B791" s="76" t="s">
        <v>2402</v>
      </c>
      <c r="C791" s="76" t="s">
        <v>1542</v>
      </c>
      <c r="D791" s="76" t="s">
        <v>118</v>
      </c>
      <c r="E791" s="76"/>
      <c r="F791" s="221">
        <v>35000</v>
      </c>
      <c r="G791" s="76"/>
      <c r="H791" s="247">
        <f t="shared" si="14"/>
        <v>11047</v>
      </c>
      <c r="I791" s="76" t="s">
        <v>187</v>
      </c>
      <c r="J791" s="129" t="s">
        <v>2403</v>
      </c>
    </row>
    <row r="792" spans="1:10">
      <c r="A792" s="130">
        <v>45894</v>
      </c>
      <c r="B792" s="76" t="s">
        <v>2404</v>
      </c>
      <c r="C792" s="76" t="s">
        <v>304</v>
      </c>
      <c r="D792" s="76" t="s">
        <v>118</v>
      </c>
      <c r="E792" s="76"/>
      <c r="F792" s="221">
        <v>5000</v>
      </c>
      <c r="G792" s="76"/>
      <c r="H792" s="247">
        <f t="shared" si="14"/>
        <v>6047</v>
      </c>
      <c r="I792" s="76" t="s">
        <v>187</v>
      </c>
      <c r="J792" s="129" t="s">
        <v>2405</v>
      </c>
    </row>
    <row r="793" spans="1:10">
      <c r="A793" s="227">
        <v>45895</v>
      </c>
      <c r="B793" s="76" t="s">
        <v>2878</v>
      </c>
      <c r="C793" s="76" t="s">
        <v>174</v>
      </c>
      <c r="D793" s="76" t="s">
        <v>117</v>
      </c>
      <c r="E793" s="76"/>
      <c r="F793" s="76">
        <v>500</v>
      </c>
      <c r="G793" s="76"/>
      <c r="H793" s="247">
        <f t="shared" si="14"/>
        <v>5547</v>
      </c>
      <c r="I793" s="76" t="s">
        <v>187</v>
      </c>
      <c r="J793" s="76" t="s">
        <v>2880</v>
      </c>
    </row>
    <row r="794" spans="1:10">
      <c r="A794" s="130">
        <v>45895</v>
      </c>
      <c r="B794" s="129" t="s">
        <v>2416</v>
      </c>
      <c r="C794" s="76" t="s">
        <v>182</v>
      </c>
      <c r="D794" s="76" t="s">
        <v>118</v>
      </c>
      <c r="E794" s="76">
        <v>3900</v>
      </c>
      <c r="F794" s="76"/>
      <c r="G794" s="76"/>
      <c r="H794" s="247">
        <f t="shared" si="14"/>
        <v>9447</v>
      </c>
      <c r="I794" s="76" t="s">
        <v>187</v>
      </c>
      <c r="J794" s="129" t="s">
        <v>2417</v>
      </c>
    </row>
    <row r="795" spans="1:10">
      <c r="A795" s="130">
        <v>45895</v>
      </c>
      <c r="B795" s="129" t="s">
        <v>2416</v>
      </c>
      <c r="C795" s="76" t="s">
        <v>182</v>
      </c>
      <c r="D795" s="76" t="s">
        <v>118</v>
      </c>
      <c r="E795" s="76"/>
      <c r="F795" s="76">
        <v>3900</v>
      </c>
      <c r="G795" s="76"/>
      <c r="H795" s="247">
        <f t="shared" si="14"/>
        <v>5547</v>
      </c>
      <c r="I795" s="76" t="s">
        <v>187</v>
      </c>
      <c r="J795" s="129" t="s">
        <v>2417</v>
      </c>
    </row>
    <row r="796" spans="1:10">
      <c r="A796" s="227">
        <v>45895</v>
      </c>
      <c r="B796" s="76" t="s">
        <v>2877</v>
      </c>
      <c r="C796" s="76" t="s">
        <v>174</v>
      </c>
      <c r="D796" s="76" t="s">
        <v>117</v>
      </c>
      <c r="E796" s="76"/>
      <c r="F796" s="76">
        <v>500</v>
      </c>
      <c r="G796" s="76"/>
      <c r="H796" s="247">
        <f t="shared" si="14"/>
        <v>5047</v>
      </c>
      <c r="I796" s="76" t="s">
        <v>187</v>
      </c>
      <c r="J796" s="76" t="s">
        <v>2880</v>
      </c>
    </row>
    <row r="797" spans="1:10">
      <c r="E797" s="71">
        <f>SUM(E774:E796)</f>
        <v>73900</v>
      </c>
      <c r="F797" s="71">
        <f>SUM(F774:F796)</f>
        <v>68900</v>
      </c>
      <c r="H797" s="71">
        <f>+E797-F797+H774</f>
        <v>5047</v>
      </c>
    </row>
  </sheetData>
  <mergeCells count="3">
    <mergeCell ref="A119:D119"/>
    <mergeCell ref="B552:E552"/>
    <mergeCell ref="B771:E771"/>
  </mergeCells>
  <phoneticPr fontId="28" type="noConversion"/>
  <dataValidations count="1">
    <dataValidation type="list" allowBlank="1" showInputMessage="1" showErrorMessage="1" sqref="C606 C775:C793 C796"/>
  </dataValidation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6"/>
  <sheetViews>
    <sheetView zoomScaleNormal="100" workbookViewId="0">
      <selection activeCell="C28" sqref="C28"/>
    </sheetView>
  </sheetViews>
  <sheetFormatPr baseColWidth="10" defaultColWidth="8.69921875" defaultRowHeight="13.8"/>
  <cols>
    <col min="1" max="1" width="5.69921875" customWidth="1"/>
    <col min="2" max="2" width="20.3984375" bestFit="1" customWidth="1"/>
    <col min="3" max="3" width="22.8984375" bestFit="1" customWidth="1"/>
    <col min="4" max="38" width="5.69921875" customWidth="1"/>
    <col min="39" max="63" width="6.69921875" customWidth="1"/>
    <col min="64" max="64" width="7.69921875" customWidth="1"/>
    <col min="65" max="65" width="5.3984375" customWidth="1"/>
    <col min="66" max="66" width="11.69921875" bestFit="1" customWidth="1"/>
  </cols>
  <sheetData>
    <row r="2" spans="2:3">
      <c r="B2" s="173" t="s">
        <v>462</v>
      </c>
      <c r="C2" t="s">
        <v>464</v>
      </c>
    </row>
    <row r="3" spans="2:3">
      <c r="B3" s="149" t="s">
        <v>190</v>
      </c>
      <c r="C3" s="327">
        <v>179690</v>
      </c>
    </row>
    <row r="4" spans="2:3">
      <c r="B4" s="149" t="s">
        <v>148</v>
      </c>
      <c r="C4" s="327">
        <v>6410406</v>
      </c>
    </row>
    <row r="5" spans="2:3">
      <c r="B5" s="149" t="s">
        <v>200</v>
      </c>
      <c r="C5" s="327">
        <v>583500</v>
      </c>
    </row>
    <row r="6" spans="2:3">
      <c r="B6" s="149" t="s">
        <v>437</v>
      </c>
      <c r="C6" s="327">
        <v>384350</v>
      </c>
    </row>
    <row r="7" spans="2:3">
      <c r="B7" s="149" t="s">
        <v>153</v>
      </c>
      <c r="C7" s="327">
        <v>539625</v>
      </c>
    </row>
    <row r="8" spans="2:3">
      <c r="B8" s="149" t="s">
        <v>213</v>
      </c>
      <c r="C8" s="327">
        <v>634000</v>
      </c>
    </row>
    <row r="9" spans="2:3">
      <c r="B9" s="149" t="s">
        <v>583</v>
      </c>
      <c r="C9" s="327">
        <v>349300</v>
      </c>
    </row>
    <row r="10" spans="2:3">
      <c r="B10" s="149" t="s">
        <v>193</v>
      </c>
      <c r="C10" s="327">
        <v>463500</v>
      </c>
    </row>
    <row r="11" spans="2:3">
      <c r="B11" s="149" t="s">
        <v>187</v>
      </c>
      <c r="C11" s="327">
        <v>68900</v>
      </c>
    </row>
    <row r="12" spans="2:3">
      <c r="B12" s="149" t="s">
        <v>184</v>
      </c>
      <c r="C12" s="327">
        <v>1086000</v>
      </c>
    </row>
    <row r="13" spans="2:3">
      <c r="B13" s="149" t="s">
        <v>175</v>
      </c>
      <c r="C13" s="327">
        <v>557000</v>
      </c>
    </row>
    <row r="14" spans="2:3">
      <c r="B14" s="149" t="s">
        <v>317</v>
      </c>
      <c r="C14" s="327">
        <v>216000</v>
      </c>
    </row>
    <row r="15" spans="2:3">
      <c r="B15" s="149" t="s">
        <v>323</v>
      </c>
      <c r="C15" s="327">
        <v>220000</v>
      </c>
    </row>
    <row r="16" spans="2:3">
      <c r="B16" s="149" t="s">
        <v>463</v>
      </c>
      <c r="C16" s="327">
        <v>11692271</v>
      </c>
    </row>
  </sheetData>
  <pageMargins left="0.7" right="0.7" top="0.78740157499999996" bottom="0.78740157499999996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8"/>
  <sheetViews>
    <sheetView zoomScaleNormal="100" workbookViewId="0">
      <selection activeCell="C14" sqref="C14"/>
    </sheetView>
  </sheetViews>
  <sheetFormatPr baseColWidth="10" defaultColWidth="11.3984375" defaultRowHeight="13.8"/>
  <cols>
    <col min="2" max="2" width="20.3984375" bestFit="1" customWidth="1"/>
    <col min="3" max="3" width="16.59765625" bestFit="1" customWidth="1"/>
    <col min="4" max="4" width="19.296875" bestFit="1" customWidth="1"/>
  </cols>
  <sheetData>
    <row r="2" spans="2:4">
      <c r="B2" s="173" t="s">
        <v>462</v>
      </c>
      <c r="C2" t="s">
        <v>465</v>
      </c>
      <c r="D2" t="s">
        <v>466</v>
      </c>
    </row>
    <row r="3" spans="2:4">
      <c r="B3" s="149" t="s">
        <v>190</v>
      </c>
      <c r="C3" s="327">
        <v>178690</v>
      </c>
      <c r="D3" s="327"/>
    </row>
    <row r="4" spans="2:4">
      <c r="B4" s="149" t="s">
        <v>148</v>
      </c>
      <c r="C4" s="327"/>
      <c r="D4" s="327">
        <v>6300000</v>
      </c>
    </row>
    <row r="5" spans="2:4">
      <c r="B5" s="149" t="s">
        <v>197</v>
      </c>
      <c r="C5" s="327">
        <v>641000</v>
      </c>
      <c r="D5" s="327"/>
    </row>
    <row r="6" spans="2:4">
      <c r="B6" s="149" t="s">
        <v>153</v>
      </c>
      <c r="C6" s="327">
        <v>1040000</v>
      </c>
      <c r="D6" s="327">
        <v>350000</v>
      </c>
    </row>
    <row r="7" spans="2:4">
      <c r="B7" s="149" t="s">
        <v>213</v>
      </c>
      <c r="C7" s="327">
        <v>919000</v>
      </c>
      <c r="D7" s="327"/>
    </row>
    <row r="8" spans="2:4">
      <c r="B8" s="149" t="s">
        <v>323</v>
      </c>
      <c r="C8" s="327">
        <v>203000</v>
      </c>
      <c r="D8" s="327"/>
    </row>
    <row r="9" spans="2:4">
      <c r="B9" s="149" t="s">
        <v>317</v>
      </c>
      <c r="C9" s="327">
        <v>201000</v>
      </c>
      <c r="D9" s="327"/>
    </row>
    <row r="10" spans="2:4">
      <c r="B10" s="149" t="s">
        <v>184</v>
      </c>
      <c r="C10" s="327">
        <v>1068000</v>
      </c>
      <c r="D10" s="327">
        <v>20000</v>
      </c>
    </row>
    <row r="11" spans="2:4">
      <c r="B11" s="149" t="s">
        <v>583</v>
      </c>
      <c r="C11" s="327">
        <v>352800</v>
      </c>
      <c r="D11" s="327"/>
    </row>
    <row r="12" spans="2:4">
      <c r="B12" s="149" t="s">
        <v>1898</v>
      </c>
      <c r="C12" s="327">
        <v>190000</v>
      </c>
      <c r="D12" s="327"/>
    </row>
    <row r="13" spans="2:4">
      <c r="B13" s="149" t="s">
        <v>193</v>
      </c>
      <c r="C13" s="327">
        <v>525000</v>
      </c>
      <c r="D13" s="327"/>
    </row>
    <row r="14" spans="2:4">
      <c r="B14" s="149" t="s">
        <v>187</v>
      </c>
      <c r="C14" s="327">
        <v>63900</v>
      </c>
      <c r="D14" s="327"/>
    </row>
    <row r="15" spans="2:4">
      <c r="B15" s="149" t="s">
        <v>175</v>
      </c>
      <c r="C15" s="327">
        <v>578000</v>
      </c>
      <c r="D15" s="327"/>
    </row>
    <row r="16" spans="2:4">
      <c r="B16" s="149" t="s">
        <v>1893</v>
      </c>
      <c r="C16" s="327"/>
      <c r="D16" s="327"/>
    </row>
    <row r="17" spans="2:4">
      <c r="B17" s="149" t="s">
        <v>200</v>
      </c>
      <c r="C17" s="327">
        <v>725000</v>
      </c>
      <c r="D17" s="327"/>
    </row>
    <row r="18" spans="2:4">
      <c r="B18" s="149" t="s">
        <v>463</v>
      </c>
      <c r="C18" s="327">
        <v>6685390</v>
      </c>
      <c r="D18" s="327">
        <v>6670000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2"/>
  <sheetViews>
    <sheetView topLeftCell="D1" workbookViewId="0">
      <selection activeCell="J21" sqref="J21"/>
    </sheetView>
  </sheetViews>
  <sheetFormatPr baseColWidth="10" defaultColWidth="8.69921875" defaultRowHeight="13.8"/>
  <cols>
    <col min="1" max="1" width="13.09765625" bestFit="1" customWidth="1"/>
    <col min="2" max="2" width="22.8984375" bestFit="1" customWidth="1"/>
    <col min="3" max="3" width="23.19921875" bestFit="1" customWidth="1"/>
    <col min="4" max="4" width="20.796875" bestFit="1" customWidth="1"/>
    <col min="5" max="5" width="5.69921875" bestFit="1" customWidth="1"/>
    <col min="6" max="6" width="7.69921875" bestFit="1" customWidth="1"/>
    <col min="7" max="7" width="12.19921875" bestFit="1" customWidth="1"/>
    <col min="8" max="8" width="14.59765625" bestFit="1" customWidth="1"/>
    <col min="9" max="9" width="9.796875" bestFit="1" customWidth="1"/>
    <col min="10" max="10" width="13.8984375" bestFit="1" customWidth="1"/>
    <col min="11" max="11" width="8.59765625" bestFit="1" customWidth="1"/>
    <col min="12" max="12" width="10.19921875" bestFit="1" customWidth="1"/>
    <col min="13" max="13" width="13.09765625" bestFit="1" customWidth="1"/>
    <col min="14" max="14" width="9.296875" bestFit="1" customWidth="1"/>
    <col min="15" max="15" width="9.796875" bestFit="1" customWidth="1"/>
    <col min="16" max="16" width="17.59765625" bestFit="1" customWidth="1"/>
    <col min="17" max="17" width="12.8984375" bestFit="1" customWidth="1"/>
    <col min="18" max="18" width="10.5" bestFit="1" customWidth="1"/>
    <col min="19" max="19" width="8.09765625" bestFit="1" customWidth="1"/>
    <col min="20" max="20" width="14.69921875" bestFit="1" customWidth="1"/>
    <col min="21" max="21" width="10.3984375" bestFit="1" customWidth="1"/>
    <col min="22" max="22" width="12.09765625" bestFit="1" customWidth="1"/>
    <col min="23" max="23" width="11.796875" bestFit="1" customWidth="1"/>
  </cols>
  <sheetData>
    <row r="2" spans="2:22">
      <c r="B2" s="173" t="s">
        <v>464</v>
      </c>
      <c r="C2" s="173" t="s">
        <v>1895</v>
      </c>
    </row>
    <row r="3" spans="2:22">
      <c r="B3" s="173" t="s">
        <v>462</v>
      </c>
      <c r="C3" t="s">
        <v>128</v>
      </c>
      <c r="D3" t="s">
        <v>2088</v>
      </c>
      <c r="E3" t="s">
        <v>125</v>
      </c>
      <c r="F3" t="s">
        <v>626</v>
      </c>
      <c r="G3" t="s">
        <v>123</v>
      </c>
      <c r="H3" t="s">
        <v>172</v>
      </c>
      <c r="I3" t="s">
        <v>127</v>
      </c>
      <c r="J3" t="s">
        <v>126</v>
      </c>
      <c r="K3" t="s">
        <v>304</v>
      </c>
      <c r="L3" t="s">
        <v>152</v>
      </c>
      <c r="M3" t="s">
        <v>182</v>
      </c>
      <c r="N3" t="s">
        <v>174</v>
      </c>
      <c r="O3" t="s">
        <v>196</v>
      </c>
      <c r="P3" t="s">
        <v>2456</v>
      </c>
      <c r="Q3" t="s">
        <v>368</v>
      </c>
      <c r="R3" t="s">
        <v>1810</v>
      </c>
      <c r="S3" t="s">
        <v>313</v>
      </c>
      <c r="T3" t="s">
        <v>2812</v>
      </c>
      <c r="U3" t="s">
        <v>1542</v>
      </c>
      <c r="V3" t="s">
        <v>463</v>
      </c>
    </row>
    <row r="4" spans="2:22">
      <c r="B4" s="149" t="s">
        <v>121</v>
      </c>
      <c r="C4" s="327"/>
      <c r="D4" s="327"/>
      <c r="E4" s="327"/>
      <c r="F4" s="327"/>
      <c r="G4" s="327"/>
      <c r="H4" s="327"/>
      <c r="I4" s="327">
        <v>636774</v>
      </c>
      <c r="J4" s="327"/>
      <c r="K4" s="327"/>
      <c r="L4" s="327">
        <v>90000</v>
      </c>
      <c r="M4" s="327"/>
      <c r="N4" s="327">
        <v>737500</v>
      </c>
      <c r="O4" s="327"/>
      <c r="P4" s="327">
        <v>1240000</v>
      </c>
      <c r="Q4" s="327">
        <v>11500</v>
      </c>
      <c r="R4" s="327"/>
      <c r="S4" s="327"/>
      <c r="T4" s="327"/>
      <c r="U4" s="327"/>
      <c r="V4" s="327">
        <v>2715774</v>
      </c>
    </row>
    <row r="5" spans="2:22">
      <c r="B5" s="149" t="s">
        <v>117</v>
      </c>
      <c r="C5" s="327"/>
      <c r="D5" s="327"/>
      <c r="E5" s="327"/>
      <c r="F5" s="327"/>
      <c r="G5" s="327">
        <v>450000</v>
      </c>
      <c r="H5" s="327"/>
      <c r="I5" s="327">
        <v>1415727</v>
      </c>
      <c r="J5" s="327"/>
      <c r="K5" s="327"/>
      <c r="L5" s="327">
        <v>60000</v>
      </c>
      <c r="M5" s="327"/>
      <c r="N5" s="327">
        <v>260000</v>
      </c>
      <c r="O5" s="327">
        <v>62500</v>
      </c>
      <c r="P5" s="327">
        <v>838250</v>
      </c>
      <c r="Q5" s="327"/>
      <c r="R5" s="327">
        <v>1400</v>
      </c>
      <c r="S5" s="327">
        <v>39000</v>
      </c>
      <c r="T5" s="327"/>
      <c r="U5" s="327"/>
      <c r="V5" s="327">
        <v>3126877</v>
      </c>
    </row>
    <row r="6" spans="2:22">
      <c r="B6" s="149" t="s">
        <v>119</v>
      </c>
      <c r="C6" s="327"/>
      <c r="D6" s="327"/>
      <c r="E6" s="327"/>
      <c r="F6" s="327"/>
      <c r="G6" s="327"/>
      <c r="H6" s="327"/>
      <c r="I6" s="327">
        <v>3096625</v>
      </c>
      <c r="J6" s="327"/>
      <c r="K6" s="327"/>
      <c r="L6" s="327">
        <v>25000</v>
      </c>
      <c r="M6" s="327"/>
      <c r="N6" s="327">
        <v>50000</v>
      </c>
      <c r="O6" s="327"/>
      <c r="P6" s="327"/>
      <c r="Q6" s="327"/>
      <c r="R6" s="327"/>
      <c r="S6" s="327"/>
      <c r="T6" s="327"/>
      <c r="U6" s="327"/>
      <c r="V6" s="327">
        <v>3171625</v>
      </c>
    </row>
    <row r="7" spans="2:22">
      <c r="B7" s="149" t="s">
        <v>120</v>
      </c>
      <c r="C7" s="327"/>
      <c r="D7" s="327">
        <v>330000</v>
      </c>
      <c r="E7" s="327"/>
      <c r="F7" s="327"/>
      <c r="G7" s="327"/>
      <c r="H7" s="327"/>
      <c r="I7" s="327">
        <v>266940</v>
      </c>
      <c r="J7" s="327"/>
      <c r="K7" s="327"/>
      <c r="L7" s="327">
        <v>15000</v>
      </c>
      <c r="M7" s="327"/>
      <c r="N7" s="327">
        <v>49000</v>
      </c>
      <c r="O7" s="327"/>
      <c r="P7" s="327">
        <v>240000</v>
      </c>
      <c r="Q7" s="327"/>
      <c r="R7" s="327"/>
      <c r="S7" s="327"/>
      <c r="T7" s="327"/>
      <c r="U7" s="327"/>
      <c r="V7" s="327">
        <v>900940</v>
      </c>
    </row>
    <row r="8" spans="2:22">
      <c r="B8" s="149" t="s">
        <v>118</v>
      </c>
      <c r="C8" s="327">
        <v>10665</v>
      </c>
      <c r="D8" s="327"/>
      <c r="E8" s="327"/>
      <c r="F8" s="327">
        <v>45050</v>
      </c>
      <c r="G8" s="327"/>
      <c r="H8" s="327">
        <v>146050</v>
      </c>
      <c r="I8" s="327">
        <v>258800</v>
      </c>
      <c r="J8" s="327">
        <v>506000</v>
      </c>
      <c r="K8" s="327">
        <v>360625</v>
      </c>
      <c r="L8" s="327"/>
      <c r="M8" s="327">
        <v>103165</v>
      </c>
      <c r="N8" s="327">
        <v>46500</v>
      </c>
      <c r="O8" s="327"/>
      <c r="P8" s="327"/>
      <c r="Q8" s="327"/>
      <c r="R8" s="327"/>
      <c r="S8" s="327"/>
      <c r="T8" s="327"/>
      <c r="U8" s="327">
        <v>35000</v>
      </c>
      <c r="V8" s="327">
        <v>1511855</v>
      </c>
    </row>
    <row r="9" spans="2:22">
      <c r="B9" s="149" t="s">
        <v>2241</v>
      </c>
      <c r="C9" s="327"/>
      <c r="D9" s="327"/>
      <c r="E9" s="327"/>
      <c r="F9" s="327"/>
      <c r="G9" s="327"/>
      <c r="H9" s="327">
        <v>25000</v>
      </c>
      <c r="I9" s="327"/>
      <c r="J9" s="327"/>
      <c r="K9" s="327"/>
      <c r="L9" s="327"/>
      <c r="M9" s="327"/>
      <c r="N9" s="327"/>
      <c r="O9" s="327"/>
      <c r="P9" s="327"/>
      <c r="Q9" s="327"/>
      <c r="R9" s="327"/>
      <c r="S9" s="327"/>
      <c r="T9" s="327"/>
      <c r="U9" s="327"/>
      <c r="V9" s="327">
        <v>25000</v>
      </c>
    </row>
    <row r="10" spans="2:22">
      <c r="B10" s="149" t="s">
        <v>1893</v>
      </c>
      <c r="C10" s="327"/>
      <c r="D10" s="327"/>
      <c r="E10" s="327"/>
      <c r="F10" s="327"/>
      <c r="G10" s="327"/>
      <c r="H10" s="327"/>
      <c r="I10" s="327"/>
      <c r="J10" s="327"/>
      <c r="K10" s="327"/>
      <c r="L10" s="327"/>
      <c r="M10" s="327"/>
      <c r="N10" s="327"/>
      <c r="O10" s="327"/>
      <c r="P10" s="327"/>
      <c r="Q10" s="327"/>
      <c r="R10" s="327"/>
      <c r="S10" s="327"/>
      <c r="T10" s="327"/>
      <c r="U10" s="327"/>
      <c r="V10" s="327"/>
    </row>
    <row r="11" spans="2:22">
      <c r="B11" s="149" t="s">
        <v>2479</v>
      </c>
      <c r="C11" s="327"/>
      <c r="D11" s="327"/>
      <c r="E11" s="327"/>
      <c r="F11" s="327"/>
      <c r="G11" s="327"/>
      <c r="H11" s="327"/>
      <c r="I11" s="327"/>
      <c r="J11" s="327"/>
      <c r="K11" s="327"/>
      <c r="L11" s="327"/>
      <c r="M11" s="327"/>
      <c r="N11" s="327"/>
      <c r="O11" s="327">
        <v>25000</v>
      </c>
      <c r="P11" s="327">
        <v>190000</v>
      </c>
      <c r="Q11" s="327"/>
      <c r="R11" s="327"/>
      <c r="S11" s="327"/>
      <c r="T11" s="327">
        <v>25200</v>
      </c>
      <c r="U11" s="327"/>
      <c r="V11" s="327">
        <v>240200</v>
      </c>
    </row>
    <row r="12" spans="2:22">
      <c r="B12" s="149" t="s">
        <v>463</v>
      </c>
      <c r="C12" s="327">
        <v>10665</v>
      </c>
      <c r="D12" s="327">
        <v>330000</v>
      </c>
      <c r="E12" s="327"/>
      <c r="F12" s="327">
        <v>45050</v>
      </c>
      <c r="G12" s="327">
        <v>450000</v>
      </c>
      <c r="H12" s="327">
        <v>171050</v>
      </c>
      <c r="I12" s="327">
        <v>5674866</v>
      </c>
      <c r="J12" s="327">
        <v>506000</v>
      </c>
      <c r="K12" s="327">
        <v>360625</v>
      </c>
      <c r="L12" s="327">
        <v>190000</v>
      </c>
      <c r="M12" s="327">
        <v>103165</v>
      </c>
      <c r="N12" s="327">
        <v>1143000</v>
      </c>
      <c r="O12" s="327">
        <v>87500</v>
      </c>
      <c r="P12" s="327">
        <v>2508250</v>
      </c>
      <c r="Q12" s="327">
        <v>11500</v>
      </c>
      <c r="R12" s="327">
        <v>1400</v>
      </c>
      <c r="S12" s="327">
        <v>39000</v>
      </c>
      <c r="T12" s="327">
        <v>25200</v>
      </c>
      <c r="U12" s="327">
        <v>35000</v>
      </c>
      <c r="V12" s="327">
        <v>11692271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topLeftCell="D7" workbookViewId="0">
      <selection activeCell="M19" sqref="M19"/>
    </sheetView>
  </sheetViews>
  <sheetFormatPr baseColWidth="10" defaultColWidth="8.69921875" defaultRowHeight="13.8"/>
  <cols>
    <col min="1" max="2" width="16.09765625" style="69" customWidth="1"/>
    <col min="3" max="3" width="68.59765625" customWidth="1"/>
    <col min="4" max="4" width="15.69921875" customWidth="1"/>
    <col min="5" max="5" width="17.09765625" customWidth="1"/>
    <col min="6" max="8" width="17.09765625" style="71" customWidth="1"/>
    <col min="9" max="9" width="7.09765625" customWidth="1"/>
    <col min="10" max="10" width="17.09765625" customWidth="1"/>
    <col min="11" max="11" width="20.69921875" customWidth="1"/>
  </cols>
  <sheetData>
    <row r="1" spans="1:11" ht="14.4">
      <c r="A1" s="73" t="s">
        <v>0</v>
      </c>
      <c r="B1" s="73"/>
      <c r="C1" s="74" t="s">
        <v>1</v>
      </c>
      <c r="D1" s="74" t="s">
        <v>122</v>
      </c>
      <c r="E1" s="74" t="s">
        <v>3</v>
      </c>
      <c r="F1" s="86" t="s">
        <v>29</v>
      </c>
      <c r="G1" s="87" t="s">
        <v>12</v>
      </c>
      <c r="H1" s="87" t="s">
        <v>30</v>
      </c>
      <c r="I1" s="75" t="s">
        <v>10</v>
      </c>
      <c r="J1" s="75" t="s">
        <v>6</v>
      </c>
      <c r="K1" s="99" t="s">
        <v>72</v>
      </c>
    </row>
    <row r="2" spans="1:11" ht="15.6">
      <c r="A2" s="328">
        <v>45870</v>
      </c>
      <c r="B2" s="328"/>
      <c r="C2" s="231" t="s">
        <v>2930</v>
      </c>
      <c r="D2" s="120"/>
      <c r="E2" s="120"/>
      <c r="F2" s="123"/>
      <c r="G2" s="122"/>
      <c r="H2" s="341">
        <v>1505634</v>
      </c>
      <c r="I2" s="76" t="s">
        <v>148</v>
      </c>
      <c r="J2" s="76"/>
      <c r="K2" s="76"/>
    </row>
    <row r="3" spans="1:11" ht="14.4">
      <c r="A3" s="485">
        <v>45870</v>
      </c>
      <c r="B3" s="328"/>
      <c r="C3" s="169" t="s">
        <v>2932</v>
      </c>
      <c r="D3" s="118" t="s">
        <v>126</v>
      </c>
      <c r="E3" s="126" t="s">
        <v>118</v>
      </c>
      <c r="F3" s="123">
        <v>500000</v>
      </c>
      <c r="G3" s="122"/>
      <c r="H3" s="95">
        <f t="shared" ref="H3:H27" si="0">H2-F3+G3</f>
        <v>1005634</v>
      </c>
      <c r="I3" s="76" t="s">
        <v>148</v>
      </c>
      <c r="J3" s="76" t="s">
        <v>2909</v>
      </c>
      <c r="K3" s="76"/>
    </row>
    <row r="4" spans="1:11" ht="14.4">
      <c r="A4" s="485">
        <v>45873</v>
      </c>
      <c r="B4" s="328"/>
      <c r="C4" s="121" t="s">
        <v>2886</v>
      </c>
      <c r="D4" s="487" t="s">
        <v>127</v>
      </c>
      <c r="E4" s="127" t="s">
        <v>121</v>
      </c>
      <c r="F4" s="123">
        <v>159677</v>
      </c>
      <c r="G4" s="122"/>
      <c r="H4" s="95">
        <f t="shared" si="0"/>
        <v>845957</v>
      </c>
      <c r="I4" s="76" t="s">
        <v>148</v>
      </c>
      <c r="J4" s="76" t="s">
        <v>2910</v>
      </c>
      <c r="K4" s="76"/>
    </row>
    <row r="5" spans="1:11" ht="14.4">
      <c r="A5" s="485">
        <v>45876</v>
      </c>
      <c r="B5" s="328"/>
      <c r="C5" s="118" t="s">
        <v>2887</v>
      </c>
      <c r="D5" s="170" t="s">
        <v>304</v>
      </c>
      <c r="E5" s="126" t="s">
        <v>118</v>
      </c>
      <c r="F5" s="123">
        <v>260000</v>
      </c>
      <c r="G5" s="123"/>
      <c r="H5" s="95">
        <f t="shared" si="0"/>
        <v>585957</v>
      </c>
      <c r="I5" s="76" t="s">
        <v>148</v>
      </c>
      <c r="J5" s="76" t="s">
        <v>2911</v>
      </c>
      <c r="K5" s="76"/>
    </row>
    <row r="6" spans="1:11" ht="15.6">
      <c r="A6" s="485">
        <v>45882</v>
      </c>
      <c r="B6" s="328"/>
      <c r="C6" s="231" t="s">
        <v>2888</v>
      </c>
      <c r="D6" s="170" t="s">
        <v>124</v>
      </c>
      <c r="E6" s="126"/>
      <c r="F6" s="123">
        <v>300000</v>
      </c>
      <c r="G6" s="123"/>
      <c r="H6" s="95">
        <f t="shared" si="0"/>
        <v>285957</v>
      </c>
      <c r="I6" s="76" t="s">
        <v>148</v>
      </c>
      <c r="J6" s="76" t="s">
        <v>2912</v>
      </c>
      <c r="K6" s="76"/>
    </row>
    <row r="7" spans="1:11" ht="14.4">
      <c r="A7" s="486">
        <v>45882</v>
      </c>
      <c r="B7" s="494"/>
      <c r="C7" s="169" t="s">
        <v>2889</v>
      </c>
      <c r="D7" s="243" t="s">
        <v>125</v>
      </c>
      <c r="E7" s="126"/>
      <c r="F7" s="488"/>
      <c r="G7" s="343">
        <v>2664510</v>
      </c>
      <c r="H7" s="167">
        <f t="shared" si="0"/>
        <v>2950467</v>
      </c>
      <c r="I7" s="129" t="s">
        <v>148</v>
      </c>
      <c r="J7" s="129" t="s">
        <v>2936</v>
      </c>
      <c r="K7" s="76"/>
    </row>
    <row r="8" spans="1:11" ht="14.4">
      <c r="A8" s="486">
        <v>45882</v>
      </c>
      <c r="B8" s="328"/>
      <c r="C8" s="169" t="s">
        <v>2890</v>
      </c>
      <c r="D8" s="243" t="s">
        <v>125</v>
      </c>
      <c r="E8" s="489"/>
      <c r="F8" s="490"/>
      <c r="G8" s="343">
        <v>14388352</v>
      </c>
      <c r="H8" s="95">
        <f t="shared" si="0"/>
        <v>17338819</v>
      </c>
      <c r="I8" s="129" t="s">
        <v>148</v>
      </c>
      <c r="J8" s="129" t="s">
        <v>2937</v>
      </c>
      <c r="K8" s="76"/>
    </row>
    <row r="9" spans="1:11" ht="15.6">
      <c r="A9" s="485">
        <v>45883</v>
      </c>
      <c r="B9" s="328"/>
      <c r="C9" s="231" t="s">
        <v>2891</v>
      </c>
      <c r="D9" s="170" t="s">
        <v>124</v>
      </c>
      <c r="E9" s="171"/>
      <c r="F9" s="123">
        <v>2000000</v>
      </c>
      <c r="G9" s="122"/>
      <c r="H9" s="95">
        <f t="shared" si="0"/>
        <v>15338819</v>
      </c>
      <c r="I9" s="76" t="s">
        <v>148</v>
      </c>
      <c r="J9" s="76" t="s">
        <v>2913</v>
      </c>
      <c r="K9" s="76"/>
    </row>
    <row r="10" spans="1:11" ht="14.4">
      <c r="A10" s="486">
        <v>45883</v>
      </c>
      <c r="B10" s="328"/>
      <c r="C10" s="169" t="s">
        <v>2892</v>
      </c>
      <c r="D10" s="126" t="s">
        <v>127</v>
      </c>
      <c r="E10" s="489" t="s">
        <v>119</v>
      </c>
      <c r="F10" s="488">
        <v>1311000</v>
      </c>
      <c r="G10" s="343"/>
      <c r="H10" s="95">
        <f t="shared" si="0"/>
        <v>14027819</v>
      </c>
      <c r="I10" s="129" t="s">
        <v>148</v>
      </c>
      <c r="J10" s="76" t="s">
        <v>2914</v>
      </c>
      <c r="K10" s="76"/>
    </row>
    <row r="11" spans="1:11" ht="14.4">
      <c r="A11" s="485">
        <v>45883</v>
      </c>
      <c r="B11" s="328"/>
      <c r="C11" s="119" t="s">
        <v>2893</v>
      </c>
      <c r="D11" s="170" t="s">
        <v>123</v>
      </c>
      <c r="E11" s="118" t="s">
        <v>117</v>
      </c>
      <c r="F11" s="123">
        <v>300000</v>
      </c>
      <c r="G11" s="122"/>
      <c r="H11" s="95">
        <f t="shared" si="0"/>
        <v>13727819</v>
      </c>
      <c r="I11" s="76" t="s">
        <v>148</v>
      </c>
      <c r="J11" s="76" t="s">
        <v>2915</v>
      </c>
      <c r="K11" s="76"/>
    </row>
    <row r="12" spans="1:11" ht="15.6">
      <c r="A12" s="485">
        <v>45887</v>
      </c>
      <c r="B12" s="328"/>
      <c r="C12" s="231" t="s">
        <v>2894</v>
      </c>
      <c r="D12" s="118" t="s">
        <v>124</v>
      </c>
      <c r="E12" s="126"/>
      <c r="F12" s="123">
        <v>2000000</v>
      </c>
      <c r="G12" s="122"/>
      <c r="H12" s="95">
        <f t="shared" si="0"/>
        <v>11727819</v>
      </c>
      <c r="I12" s="76" t="s">
        <v>148</v>
      </c>
      <c r="J12" s="76" t="s">
        <v>2916</v>
      </c>
      <c r="K12" s="76"/>
    </row>
    <row r="13" spans="1:11" ht="14.4">
      <c r="A13" s="493">
        <v>45890</v>
      </c>
      <c r="B13" s="329"/>
      <c r="C13" s="330" t="s">
        <v>2895</v>
      </c>
      <c r="D13" s="331" t="s">
        <v>123</v>
      </c>
      <c r="E13" s="332" t="s">
        <v>117</v>
      </c>
      <c r="F13" s="333">
        <v>150000</v>
      </c>
      <c r="G13" s="334"/>
      <c r="H13" s="335">
        <f t="shared" si="0"/>
        <v>11577819</v>
      </c>
      <c r="I13" s="336" t="s">
        <v>148</v>
      </c>
      <c r="J13" s="336" t="s">
        <v>2301</v>
      </c>
      <c r="K13" s="76"/>
    </row>
    <row r="14" spans="1:11" ht="15.6">
      <c r="A14" s="485">
        <v>45891</v>
      </c>
      <c r="B14" s="328"/>
      <c r="C14" s="231" t="s">
        <v>2931</v>
      </c>
      <c r="D14" s="118" t="s">
        <v>124</v>
      </c>
      <c r="E14" s="126"/>
      <c r="F14" s="123">
        <v>2000000</v>
      </c>
      <c r="G14" s="122"/>
      <c r="H14" s="95">
        <f t="shared" si="0"/>
        <v>9577819</v>
      </c>
      <c r="I14" s="76" t="s">
        <v>148</v>
      </c>
      <c r="J14" s="76" t="s">
        <v>2917</v>
      </c>
      <c r="K14" s="76"/>
    </row>
    <row r="15" spans="1:11" ht="14.4">
      <c r="A15" s="485">
        <v>45891</v>
      </c>
      <c r="B15" s="328"/>
      <c r="C15" s="491" t="s">
        <v>2896</v>
      </c>
      <c r="D15" s="126" t="s">
        <v>123</v>
      </c>
      <c r="E15" s="489" t="s">
        <v>117</v>
      </c>
      <c r="F15" s="123">
        <v>150000</v>
      </c>
      <c r="G15" s="122"/>
      <c r="H15" s="95">
        <f t="shared" si="0"/>
        <v>9427819</v>
      </c>
      <c r="I15" s="76" t="s">
        <v>148</v>
      </c>
      <c r="J15" s="76" t="s">
        <v>2918</v>
      </c>
    </row>
    <row r="16" spans="1:11" ht="14.4">
      <c r="A16" s="485">
        <v>45894</v>
      </c>
      <c r="B16" s="328"/>
      <c r="C16" s="121" t="s">
        <v>2897</v>
      </c>
      <c r="D16" s="118" t="s">
        <v>127</v>
      </c>
      <c r="E16" s="118" t="s">
        <v>118</v>
      </c>
      <c r="F16" s="123">
        <v>258800</v>
      </c>
      <c r="G16" s="122"/>
      <c r="H16" s="95">
        <f t="shared" si="0"/>
        <v>9169019</v>
      </c>
      <c r="I16" s="76" t="s">
        <v>148</v>
      </c>
      <c r="J16" s="76" t="s">
        <v>2919</v>
      </c>
    </row>
    <row r="17" spans="1:10" ht="14.4">
      <c r="A17" s="485">
        <v>45894</v>
      </c>
      <c r="B17" s="328"/>
      <c r="C17" s="121" t="s">
        <v>2898</v>
      </c>
      <c r="D17" s="118" t="s">
        <v>127</v>
      </c>
      <c r="E17" s="337" t="s">
        <v>117</v>
      </c>
      <c r="F17" s="123">
        <v>228800</v>
      </c>
      <c r="G17" s="122"/>
      <c r="H17" s="95">
        <f t="shared" si="0"/>
        <v>8940219</v>
      </c>
      <c r="I17" s="76" t="s">
        <v>148</v>
      </c>
      <c r="J17" s="76" t="s">
        <v>2920</v>
      </c>
    </row>
    <row r="18" spans="1:10" ht="14.4">
      <c r="A18" s="485">
        <v>45894</v>
      </c>
      <c r="B18" s="328"/>
      <c r="C18" s="121" t="s">
        <v>2899</v>
      </c>
      <c r="D18" s="128" t="s">
        <v>127</v>
      </c>
      <c r="E18" s="127" t="s">
        <v>117</v>
      </c>
      <c r="F18" s="123">
        <v>228800</v>
      </c>
      <c r="G18" s="122"/>
      <c r="H18" s="95">
        <f t="shared" si="0"/>
        <v>8711419</v>
      </c>
      <c r="I18" s="76" t="s">
        <v>148</v>
      </c>
      <c r="J18" s="76" t="s">
        <v>2921</v>
      </c>
    </row>
    <row r="19" spans="1:10" ht="14.4">
      <c r="A19" s="485">
        <v>45894</v>
      </c>
      <c r="B19" s="328"/>
      <c r="C19" s="121" t="s">
        <v>2900</v>
      </c>
      <c r="D19" s="126" t="s">
        <v>127</v>
      </c>
      <c r="E19" s="127" t="s">
        <v>117</v>
      </c>
      <c r="F19" s="123">
        <v>390827</v>
      </c>
      <c r="G19" s="122"/>
      <c r="H19" s="95">
        <f t="shared" si="0"/>
        <v>8320592</v>
      </c>
      <c r="I19" s="76" t="s">
        <v>148</v>
      </c>
      <c r="J19" s="76" t="s">
        <v>2922</v>
      </c>
    </row>
    <row r="20" spans="1:10" ht="14.4">
      <c r="A20" s="485">
        <v>45894</v>
      </c>
      <c r="B20" s="328"/>
      <c r="C20" s="169" t="s">
        <v>2901</v>
      </c>
      <c r="D20" s="164" t="s">
        <v>127</v>
      </c>
      <c r="E20" s="126" t="s">
        <v>117</v>
      </c>
      <c r="F20" s="123">
        <v>328000</v>
      </c>
      <c r="G20" s="122"/>
      <c r="H20" s="95">
        <f t="shared" si="0"/>
        <v>7992592</v>
      </c>
      <c r="I20" s="76" t="s">
        <v>148</v>
      </c>
      <c r="J20" s="76" t="s">
        <v>2923</v>
      </c>
    </row>
    <row r="21" spans="1:10" ht="14.4">
      <c r="A21" s="485">
        <v>45894</v>
      </c>
      <c r="B21" s="328"/>
      <c r="C21" s="169" t="s">
        <v>2902</v>
      </c>
      <c r="D21" s="243" t="s">
        <v>127</v>
      </c>
      <c r="E21" s="171" t="s">
        <v>120</v>
      </c>
      <c r="F21" s="123">
        <v>266940</v>
      </c>
      <c r="G21" s="122"/>
      <c r="H21" s="95">
        <f t="shared" si="0"/>
        <v>7725652</v>
      </c>
      <c r="I21" s="76" t="s">
        <v>148</v>
      </c>
      <c r="J21" s="76" t="s">
        <v>2924</v>
      </c>
    </row>
    <row r="22" spans="1:10" ht="14.4">
      <c r="A22" s="485">
        <v>45894</v>
      </c>
      <c r="B22" s="328"/>
      <c r="C22" s="121" t="s">
        <v>2903</v>
      </c>
      <c r="D22" s="170" t="s">
        <v>127</v>
      </c>
      <c r="E22" s="118" t="s">
        <v>117</v>
      </c>
      <c r="F22" s="123">
        <v>228800</v>
      </c>
      <c r="G22" s="122"/>
      <c r="H22" s="95">
        <f t="shared" si="0"/>
        <v>7496852</v>
      </c>
      <c r="I22" s="76" t="s">
        <v>148</v>
      </c>
      <c r="J22" s="76" t="s">
        <v>2925</v>
      </c>
    </row>
    <row r="23" spans="1:10" ht="14.4">
      <c r="A23" s="485">
        <v>45894</v>
      </c>
      <c r="B23" s="328"/>
      <c r="C23" s="169" t="s">
        <v>2904</v>
      </c>
      <c r="D23" s="171" t="s">
        <v>127</v>
      </c>
      <c r="E23" s="127" t="s">
        <v>119</v>
      </c>
      <c r="F23" s="123">
        <v>1311000</v>
      </c>
      <c r="G23" s="122"/>
      <c r="H23" s="95">
        <f t="shared" si="0"/>
        <v>6185852</v>
      </c>
      <c r="I23" s="76" t="s">
        <v>148</v>
      </c>
      <c r="J23" s="76" t="s">
        <v>2926</v>
      </c>
    </row>
    <row r="24" spans="1:10" ht="14.4">
      <c r="A24" s="493">
        <v>45894</v>
      </c>
      <c r="B24" s="329"/>
      <c r="C24" s="338" t="s">
        <v>2905</v>
      </c>
      <c r="D24" s="339" t="s">
        <v>126</v>
      </c>
      <c r="E24" s="340" t="s">
        <v>118</v>
      </c>
      <c r="F24" s="333">
        <v>500000</v>
      </c>
      <c r="G24" s="334"/>
      <c r="H24" s="335">
        <f t="shared" si="0"/>
        <v>5685852</v>
      </c>
      <c r="I24" s="336" t="s">
        <v>148</v>
      </c>
      <c r="J24" s="336" t="s">
        <v>2301</v>
      </c>
    </row>
    <row r="25" spans="1:10" ht="14.4">
      <c r="A25" s="485">
        <v>45894</v>
      </c>
      <c r="B25" s="328"/>
      <c r="C25" s="169" t="s">
        <v>2906</v>
      </c>
      <c r="D25" s="164" t="s">
        <v>128</v>
      </c>
      <c r="E25" s="126" t="s">
        <v>118</v>
      </c>
      <c r="F25" s="123">
        <v>10665</v>
      </c>
      <c r="G25" s="122"/>
      <c r="H25" s="95">
        <f t="shared" si="0"/>
        <v>5675187</v>
      </c>
      <c r="I25" s="76" t="s">
        <v>148</v>
      </c>
      <c r="J25" s="76" t="s">
        <v>2927</v>
      </c>
    </row>
    <row r="26" spans="1:10" ht="14.4">
      <c r="A26" s="485">
        <v>45898</v>
      </c>
      <c r="B26" s="328"/>
      <c r="C26" s="121" t="s">
        <v>2907</v>
      </c>
      <c r="D26" s="170" t="s">
        <v>127</v>
      </c>
      <c r="E26" s="118" t="s">
        <v>121</v>
      </c>
      <c r="F26" s="123">
        <v>222097</v>
      </c>
      <c r="G26" s="122"/>
      <c r="H26" s="95">
        <f t="shared" si="0"/>
        <v>5453090</v>
      </c>
      <c r="I26" s="76" t="s">
        <v>148</v>
      </c>
      <c r="J26" s="76" t="s">
        <v>2928</v>
      </c>
    </row>
    <row r="27" spans="1:10" ht="14.4">
      <c r="A27" s="485">
        <v>45898</v>
      </c>
      <c r="B27" s="328"/>
      <c r="C27" s="492" t="s">
        <v>2908</v>
      </c>
      <c r="D27" s="487" t="s">
        <v>127</v>
      </c>
      <c r="E27" s="127" t="s">
        <v>121</v>
      </c>
      <c r="F27" s="123">
        <v>255000</v>
      </c>
      <c r="G27" s="122"/>
      <c r="H27" s="95">
        <f t="shared" si="0"/>
        <v>5198090</v>
      </c>
      <c r="I27" s="76" t="s">
        <v>148</v>
      </c>
      <c r="J27" s="76" t="s">
        <v>2929</v>
      </c>
    </row>
  </sheetData>
  <autoFilter ref="A1:J15">
    <sortState ref="A2:I15">
      <sortCondition ref="A1:A14"/>
    </sortState>
  </autoFilter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92"/>
  <sheetViews>
    <sheetView topLeftCell="F35" zoomScaleNormal="100" workbookViewId="0">
      <selection activeCell="AC9" sqref="AC9"/>
    </sheetView>
  </sheetViews>
  <sheetFormatPr baseColWidth="10" defaultColWidth="8.69921875" defaultRowHeight="13.8"/>
  <cols>
    <col min="1" max="1" width="13.09765625" customWidth="1"/>
    <col min="2" max="2" width="10.09765625" customWidth="1"/>
    <col min="3" max="3" width="106.09765625" customWidth="1"/>
    <col min="4" max="4" width="29.296875" customWidth="1"/>
    <col min="5" max="5" width="16.59765625" customWidth="1"/>
  </cols>
  <sheetData>
    <row r="1" spans="1:5" ht="15.6">
      <c r="A1" s="345" t="s">
        <v>32</v>
      </c>
      <c r="B1" s="346"/>
      <c r="C1" s="346"/>
      <c r="D1" s="346"/>
      <c r="E1" s="346"/>
    </row>
    <row r="2" spans="1:5" ht="15.6">
      <c r="A2" s="347" t="s">
        <v>33</v>
      </c>
      <c r="B2" s="347" t="s">
        <v>98</v>
      </c>
      <c r="C2" s="347"/>
      <c r="D2" s="348"/>
      <c r="E2" s="347"/>
    </row>
    <row r="3" spans="1:5" ht="15.6">
      <c r="A3" s="347" t="s">
        <v>34</v>
      </c>
      <c r="B3" s="349">
        <v>45870</v>
      </c>
      <c r="C3" s="350"/>
      <c r="D3" s="347"/>
      <c r="E3" s="347"/>
    </row>
    <row r="4" spans="1:5" ht="15.6">
      <c r="A4" s="347"/>
      <c r="B4" s="347"/>
      <c r="C4" s="347"/>
      <c r="D4" s="347"/>
      <c r="E4" s="347"/>
    </row>
    <row r="5" spans="1:5" ht="15.6">
      <c r="A5" s="347" t="s">
        <v>35</v>
      </c>
      <c r="B5" s="347"/>
      <c r="C5" s="347"/>
      <c r="D5" s="347"/>
      <c r="E5" s="347"/>
    </row>
    <row r="6" spans="1:5" ht="16.2" thickBot="1">
      <c r="A6" s="351" t="s">
        <v>53</v>
      </c>
      <c r="B6" s="351"/>
      <c r="C6" s="351"/>
      <c r="D6" s="351"/>
      <c r="E6" s="351"/>
    </row>
    <row r="7" spans="1:5" ht="16.2" thickBot="1">
      <c r="A7" s="559" t="s">
        <v>36</v>
      </c>
      <c r="B7" s="560"/>
      <c r="C7" s="560"/>
      <c r="D7" s="560"/>
      <c r="E7" s="561"/>
    </row>
    <row r="8" spans="1:5" ht="16.2" thickBot="1">
      <c r="A8" s="352"/>
      <c r="B8" s="353"/>
      <c r="C8" s="353"/>
      <c r="D8" s="354"/>
      <c r="E8" s="355"/>
    </row>
    <row r="9" spans="1:5" ht="15.6">
      <c r="A9" s="356" t="s">
        <v>0</v>
      </c>
      <c r="B9" s="357" t="s">
        <v>37</v>
      </c>
      <c r="C9" s="358" t="s">
        <v>38</v>
      </c>
      <c r="D9" s="359" t="s">
        <v>39</v>
      </c>
      <c r="E9" s="360" t="s">
        <v>40</v>
      </c>
    </row>
    <row r="10" spans="1:5" ht="15.6">
      <c r="A10" s="361">
        <v>45870</v>
      </c>
      <c r="B10" s="361"/>
      <c r="C10" s="231" t="s">
        <v>2930</v>
      </c>
      <c r="D10" s="362">
        <f>'Bank journal '!H2</f>
        <v>1505634</v>
      </c>
      <c r="E10" s="363"/>
    </row>
    <row r="11" spans="1:5" ht="15.6">
      <c r="A11" s="374">
        <v>45870</v>
      </c>
      <c r="B11" s="361"/>
      <c r="C11" s="367" t="s">
        <v>2942</v>
      </c>
      <c r="D11" s="366"/>
      <c r="E11" s="363">
        <v>500000</v>
      </c>
    </row>
    <row r="12" spans="1:5" ht="15.6">
      <c r="A12" s="374">
        <v>45873</v>
      </c>
      <c r="B12" s="361"/>
      <c r="C12" s="364" t="s">
        <v>2886</v>
      </c>
      <c r="D12" s="366"/>
      <c r="E12" s="363">
        <v>159677</v>
      </c>
    </row>
    <row r="13" spans="1:5" ht="15.6">
      <c r="A13" s="374">
        <v>45876</v>
      </c>
      <c r="B13" s="361"/>
      <c r="C13" s="365" t="s">
        <v>2887</v>
      </c>
      <c r="D13" s="363"/>
      <c r="E13" s="363">
        <v>260000</v>
      </c>
    </row>
    <row r="14" spans="1:5" s="436" customFormat="1" ht="15.6">
      <c r="A14" s="374">
        <v>45882</v>
      </c>
      <c r="B14" s="434"/>
      <c r="C14" s="231" t="s">
        <v>2888</v>
      </c>
      <c r="D14" s="363"/>
      <c r="E14" s="363">
        <v>300000</v>
      </c>
    </row>
    <row r="15" spans="1:5" s="436" customFormat="1" ht="15.6">
      <c r="A15" s="495">
        <v>45882</v>
      </c>
      <c r="B15" s="434"/>
      <c r="C15" s="367" t="s">
        <v>2889</v>
      </c>
      <c r="D15" s="496">
        <v>2664510</v>
      </c>
      <c r="E15" s="435"/>
    </row>
    <row r="16" spans="1:5" ht="15.6">
      <c r="A16" s="495">
        <v>45882</v>
      </c>
      <c r="B16" s="361"/>
      <c r="C16" s="367" t="s">
        <v>2890</v>
      </c>
      <c r="D16" s="496">
        <v>14388352</v>
      </c>
      <c r="E16" s="497"/>
    </row>
    <row r="17" spans="1:5" ht="15.6">
      <c r="A17" s="374">
        <v>45883</v>
      </c>
      <c r="B17" s="361"/>
      <c r="C17" s="231" t="s">
        <v>2891</v>
      </c>
      <c r="D17" s="366"/>
      <c r="E17" s="363">
        <v>2000000</v>
      </c>
    </row>
    <row r="18" spans="1:5" ht="15.6">
      <c r="A18" s="495">
        <v>45883</v>
      </c>
      <c r="B18" s="361"/>
      <c r="C18" s="367" t="s">
        <v>2892</v>
      </c>
      <c r="D18" s="496"/>
      <c r="E18" s="435">
        <v>1311000</v>
      </c>
    </row>
    <row r="19" spans="1:5" ht="15.6">
      <c r="A19" s="374">
        <v>45883</v>
      </c>
      <c r="B19" s="361"/>
      <c r="C19" s="364" t="s">
        <v>2893</v>
      </c>
      <c r="D19" s="366"/>
      <c r="E19" s="363">
        <v>300000</v>
      </c>
    </row>
    <row r="20" spans="1:5" ht="15.6">
      <c r="A20" s="374">
        <v>45887</v>
      </c>
      <c r="B20" s="361"/>
      <c r="C20" s="231" t="s">
        <v>2894</v>
      </c>
      <c r="D20" s="366"/>
      <c r="E20" s="363">
        <v>2000000</v>
      </c>
    </row>
    <row r="21" spans="1:5" ht="15.6">
      <c r="A21" s="498">
        <v>45890</v>
      </c>
      <c r="B21" s="361"/>
      <c r="C21" s="499" t="s">
        <v>2895</v>
      </c>
      <c r="D21" s="500"/>
      <c r="E21" s="501">
        <v>150000</v>
      </c>
    </row>
    <row r="22" spans="1:5" ht="15.6">
      <c r="A22" s="374">
        <v>45891</v>
      </c>
      <c r="B22" s="361"/>
      <c r="C22" s="231" t="s">
        <v>2931</v>
      </c>
      <c r="D22" s="366"/>
      <c r="E22" s="363">
        <v>2000000</v>
      </c>
    </row>
    <row r="23" spans="1:5" ht="15.6">
      <c r="A23" s="374">
        <v>45891</v>
      </c>
      <c r="B23" s="361"/>
      <c r="C23" s="367" t="s">
        <v>2896</v>
      </c>
      <c r="D23" s="366"/>
      <c r="E23" s="363">
        <v>150000</v>
      </c>
    </row>
    <row r="24" spans="1:5" ht="15.6">
      <c r="A24" s="374">
        <v>45894</v>
      </c>
      <c r="B24" s="361"/>
      <c r="C24" s="364" t="s">
        <v>2897</v>
      </c>
      <c r="D24" s="366"/>
      <c r="E24" s="363">
        <v>258800</v>
      </c>
    </row>
    <row r="25" spans="1:5" ht="15.6">
      <c r="A25" s="374">
        <v>45894</v>
      </c>
      <c r="B25" s="361"/>
      <c r="C25" s="364" t="s">
        <v>2898</v>
      </c>
      <c r="D25" s="366"/>
      <c r="E25" s="363">
        <v>228800</v>
      </c>
    </row>
    <row r="26" spans="1:5" ht="15.6">
      <c r="A26" s="374">
        <v>45894</v>
      </c>
      <c r="B26" s="361"/>
      <c r="C26" s="364" t="s">
        <v>2899</v>
      </c>
      <c r="D26" s="366"/>
      <c r="E26" s="363">
        <v>228800</v>
      </c>
    </row>
    <row r="27" spans="1:5" ht="15.6">
      <c r="A27" s="374">
        <v>45894</v>
      </c>
      <c r="B27" s="361"/>
      <c r="C27" s="364" t="s">
        <v>2900</v>
      </c>
      <c r="D27" s="366"/>
      <c r="E27" s="363">
        <v>390827</v>
      </c>
    </row>
    <row r="28" spans="1:5" ht="15.6">
      <c r="A28" s="374">
        <v>45894</v>
      </c>
      <c r="B28" s="361"/>
      <c r="C28" s="367" t="s">
        <v>2901</v>
      </c>
      <c r="D28" s="366"/>
      <c r="E28" s="363">
        <v>328000</v>
      </c>
    </row>
    <row r="29" spans="1:5" ht="15.6">
      <c r="A29" s="374">
        <v>45894</v>
      </c>
      <c r="B29" s="361"/>
      <c r="C29" s="367" t="s">
        <v>2902</v>
      </c>
      <c r="D29" s="366"/>
      <c r="E29" s="363">
        <v>266940</v>
      </c>
    </row>
    <row r="30" spans="1:5" ht="15.6">
      <c r="A30" s="374">
        <v>45894</v>
      </c>
      <c r="B30" s="361"/>
      <c r="C30" s="364" t="s">
        <v>2903</v>
      </c>
      <c r="D30" s="366"/>
      <c r="E30" s="363">
        <v>228800</v>
      </c>
    </row>
    <row r="31" spans="1:5" ht="15.6">
      <c r="A31" s="374">
        <v>45894</v>
      </c>
      <c r="B31" s="361"/>
      <c r="C31" s="367" t="s">
        <v>2904</v>
      </c>
      <c r="D31" s="366"/>
      <c r="E31" s="363">
        <v>1311000</v>
      </c>
    </row>
    <row r="32" spans="1:5" ht="15.6">
      <c r="A32" s="498">
        <v>45894</v>
      </c>
      <c r="B32" s="361"/>
      <c r="C32" s="499" t="s">
        <v>2905</v>
      </c>
      <c r="D32" s="500"/>
      <c r="E32" s="501">
        <v>500000</v>
      </c>
    </row>
    <row r="33" spans="1:5" ht="15.6">
      <c r="A33" s="374">
        <v>45894</v>
      </c>
      <c r="B33" s="361"/>
      <c r="C33" s="367" t="s">
        <v>2906</v>
      </c>
      <c r="D33" s="366"/>
      <c r="E33" s="363">
        <v>10665</v>
      </c>
    </row>
    <row r="34" spans="1:5" ht="15.6">
      <c r="A34" s="374">
        <v>45898</v>
      </c>
      <c r="B34" s="361"/>
      <c r="C34" s="364" t="s">
        <v>2907</v>
      </c>
      <c r="D34" s="366"/>
      <c r="E34" s="363">
        <v>222097</v>
      </c>
    </row>
    <row r="35" spans="1:5" ht="15.6">
      <c r="A35" s="374">
        <v>45898</v>
      </c>
      <c r="B35" s="361"/>
      <c r="C35" s="502" t="s">
        <v>2908</v>
      </c>
      <c r="D35" s="366"/>
      <c r="E35" s="363">
        <v>255000</v>
      </c>
    </row>
    <row r="36" spans="1:5" ht="15.6">
      <c r="A36" s="369"/>
      <c r="B36" s="370"/>
      <c r="C36" s="371"/>
      <c r="D36" s="372"/>
      <c r="E36" s="373"/>
    </row>
    <row r="37" spans="1:5" ht="15.6">
      <c r="A37" s="374"/>
      <c r="B37" s="370"/>
      <c r="C37" s="375"/>
      <c r="D37" s="366"/>
      <c r="E37" s="363"/>
    </row>
    <row r="38" spans="1:5" ht="15.6">
      <c r="A38" s="376"/>
      <c r="B38" s="377"/>
      <c r="C38" s="134" t="s">
        <v>41</v>
      </c>
      <c r="D38" s="378"/>
      <c r="E38" s="368"/>
    </row>
    <row r="39" spans="1:5" ht="15.6">
      <c r="A39" s="374"/>
      <c r="B39" s="379"/>
      <c r="C39" s="367"/>
      <c r="D39" s="366"/>
      <c r="E39" s="363"/>
    </row>
    <row r="40" spans="1:5" ht="15.6">
      <c r="A40" s="374"/>
      <c r="B40" s="379"/>
      <c r="C40" s="182"/>
      <c r="D40" s="366"/>
      <c r="E40" s="363"/>
    </row>
    <row r="41" spans="1:5" ht="15.6">
      <c r="A41" s="374"/>
      <c r="B41" s="379"/>
      <c r="C41" s="364"/>
      <c r="D41" s="366"/>
      <c r="E41" s="363"/>
    </row>
    <row r="42" spans="1:5" ht="15.6">
      <c r="A42" s="374"/>
      <c r="B42" s="379"/>
      <c r="C42" s="364"/>
      <c r="D42" s="366"/>
      <c r="E42" s="363"/>
    </row>
    <row r="43" spans="1:5" ht="15.6">
      <c r="A43" s="374"/>
      <c r="B43" s="379"/>
      <c r="C43" s="364"/>
      <c r="D43" s="366"/>
      <c r="E43" s="363"/>
    </row>
    <row r="44" spans="1:5" ht="15.6">
      <c r="A44" s="374"/>
      <c r="B44" s="379"/>
      <c r="C44" s="364"/>
      <c r="D44" s="366"/>
      <c r="E44" s="363"/>
    </row>
    <row r="45" spans="1:5" ht="16.2" thickBot="1">
      <c r="A45" s="374"/>
      <c r="B45" s="379"/>
      <c r="C45" s="365"/>
      <c r="D45" s="366"/>
      <c r="E45" s="363"/>
    </row>
    <row r="46" spans="1:5" ht="16.2" thickBot="1">
      <c r="A46" s="380"/>
      <c r="B46" s="381"/>
      <c r="C46" s="382" t="s">
        <v>42</v>
      </c>
      <c r="D46" s="383">
        <f>SUM(D10:D45)-SUM(E10:E45)</f>
        <v>5198090</v>
      </c>
      <c r="E46" s="384"/>
    </row>
    <row r="47" spans="1:5" ht="15.6" thickBot="1">
      <c r="A47" s="385"/>
      <c r="B47" s="386"/>
      <c r="C47" s="386"/>
      <c r="D47" s="387"/>
      <c r="E47" s="387"/>
    </row>
    <row r="48" spans="1:5" ht="15.6">
      <c r="A48" s="388"/>
      <c r="B48" s="347"/>
      <c r="C48" s="347" t="s">
        <v>43</v>
      </c>
      <c r="D48" s="389"/>
      <c r="E48" s="388"/>
    </row>
    <row r="49" spans="1:5" ht="15.6">
      <c r="A49" s="388"/>
      <c r="B49" s="347"/>
      <c r="C49" s="347"/>
      <c r="D49" s="389"/>
      <c r="E49" s="390">
        <f>+D45-E45</f>
        <v>0</v>
      </c>
    </row>
    <row r="50" spans="1:5" ht="15.6">
      <c r="A50" s="391"/>
      <c r="B50" s="391"/>
      <c r="C50" s="392"/>
      <c r="D50" s="389"/>
      <c r="E50" s="393"/>
    </row>
    <row r="51" spans="1:5" ht="15.6">
      <c r="A51" s="394"/>
      <c r="B51" s="394"/>
      <c r="C51" s="395" t="s">
        <v>57</v>
      </c>
      <c r="D51" s="389"/>
      <c r="E51" s="396"/>
    </row>
    <row r="52" spans="1:5" ht="16.2" thickBot="1">
      <c r="A52" s="394"/>
      <c r="B52" s="394"/>
      <c r="C52" s="397"/>
      <c r="D52" s="396"/>
      <c r="E52" s="396"/>
    </row>
    <row r="53" spans="1:5" ht="15.6">
      <c r="A53" s="394"/>
      <c r="B53" s="394"/>
      <c r="C53" s="562" t="s">
        <v>44</v>
      </c>
      <c r="D53" s="563"/>
      <c r="E53" s="564"/>
    </row>
    <row r="54" spans="1:5" ht="22.5" customHeight="1">
      <c r="A54" s="394"/>
      <c r="B54" s="394"/>
      <c r="C54" s="398" t="s">
        <v>96</v>
      </c>
      <c r="D54" s="565"/>
      <c r="E54" s="566"/>
    </row>
    <row r="55" spans="1:5" ht="15">
      <c r="A55" s="399"/>
      <c r="B55" s="394"/>
      <c r="C55" s="400"/>
      <c r="D55" s="567"/>
      <c r="E55" s="568"/>
    </row>
    <row r="56" spans="1:5" ht="15.6" thickBot="1">
      <c r="A56" s="394"/>
      <c r="B56" s="394"/>
      <c r="C56" s="401" t="s">
        <v>97</v>
      </c>
      <c r="D56" s="569"/>
      <c r="E56" s="570"/>
    </row>
    <row r="57" spans="1:5" ht="16.2" thickBot="1">
      <c r="A57" s="394"/>
      <c r="B57" s="394"/>
      <c r="C57" s="394"/>
      <c r="D57" s="402"/>
      <c r="E57" s="402"/>
    </row>
    <row r="58" spans="1:5" ht="15.6">
      <c r="A58" s="403" t="s">
        <v>0</v>
      </c>
      <c r="B58" s="404" t="s">
        <v>45</v>
      </c>
      <c r="C58" s="405" t="s">
        <v>1</v>
      </c>
      <c r="D58" s="406" t="s">
        <v>46</v>
      </c>
      <c r="E58" s="407"/>
    </row>
    <row r="59" spans="1:5" ht="15">
      <c r="A59" s="226"/>
      <c r="B59" s="226"/>
      <c r="C59" s="226"/>
      <c r="D59" s="408"/>
      <c r="E59" s="409"/>
    </row>
    <row r="60" spans="1:5" ht="15.6">
      <c r="A60" s="226"/>
      <c r="B60" s="226"/>
      <c r="C60" s="320" t="s">
        <v>54</v>
      </c>
      <c r="D60" s="408">
        <f>D46</f>
        <v>5198090</v>
      </c>
      <c r="E60" s="409"/>
    </row>
    <row r="61" spans="1:5" ht="15">
      <c r="A61" s="226"/>
      <c r="B61" s="226"/>
      <c r="C61" s="226"/>
      <c r="D61" s="408"/>
      <c r="E61" s="409"/>
    </row>
    <row r="62" spans="1:5" ht="15">
      <c r="A62" s="226"/>
      <c r="B62" s="226"/>
      <c r="C62" s="226" t="s">
        <v>47</v>
      </c>
      <c r="D62" s="408"/>
      <c r="E62" s="409"/>
    </row>
    <row r="63" spans="1:5" ht="15.6">
      <c r="A63" s="226"/>
      <c r="B63" s="226"/>
      <c r="C63" s="320" t="s">
        <v>48</v>
      </c>
      <c r="D63" s="408"/>
      <c r="E63" s="409"/>
    </row>
    <row r="64" spans="1:5" ht="15.6">
      <c r="A64" s="374">
        <v>45890</v>
      </c>
      <c r="B64" s="379">
        <v>3654418</v>
      </c>
      <c r="C64" s="364" t="s">
        <v>2895</v>
      </c>
      <c r="D64" s="410">
        <v>150000</v>
      </c>
      <c r="E64" s="411"/>
    </row>
    <row r="65" spans="1:5" ht="15.6">
      <c r="A65" s="374">
        <v>45894</v>
      </c>
      <c r="B65" s="379">
        <v>3654420</v>
      </c>
      <c r="C65" s="364" t="s">
        <v>2905</v>
      </c>
      <c r="D65" s="410">
        <v>500000</v>
      </c>
      <c r="E65" s="412"/>
    </row>
    <row r="66" spans="1:5" ht="15.6">
      <c r="A66" s="374"/>
      <c r="B66" s="379"/>
      <c r="C66" s="367"/>
      <c r="D66" s="366"/>
      <c r="E66" s="412"/>
    </row>
    <row r="67" spans="1:5" ht="15.6">
      <c r="A67" s="226"/>
      <c r="B67" s="413"/>
      <c r="C67" s="226"/>
      <c r="D67" s="408"/>
      <c r="E67" s="409"/>
    </row>
    <row r="68" spans="1:5" ht="15.6">
      <c r="A68" s="226"/>
      <c r="B68" s="226"/>
      <c r="C68" s="320" t="s">
        <v>49</v>
      </c>
      <c r="D68" s="408"/>
      <c r="E68" s="408"/>
    </row>
    <row r="69" spans="1:5" ht="15.6">
      <c r="A69" s="374">
        <v>45894</v>
      </c>
      <c r="B69" s="379" t="s">
        <v>2311</v>
      </c>
      <c r="C69" s="364" t="s">
        <v>2906</v>
      </c>
      <c r="D69" s="408"/>
      <c r="E69" s="408">
        <v>-10665</v>
      </c>
    </row>
    <row r="70" spans="1:5" ht="15.6">
      <c r="A70" s="374"/>
      <c r="B70" s="379"/>
      <c r="C70" s="364"/>
      <c r="D70" s="414"/>
      <c r="E70" s="409"/>
    </row>
    <row r="71" spans="1:5" ht="15">
      <c r="A71" s="415"/>
      <c r="B71" s="416"/>
      <c r="C71" s="226"/>
      <c r="D71" s="408"/>
      <c r="E71" s="409"/>
    </row>
    <row r="72" spans="1:5" ht="15">
      <c r="A72" s="415"/>
      <c r="B72" s="416"/>
      <c r="C72" s="226"/>
      <c r="D72" s="408"/>
      <c r="E72" s="409"/>
    </row>
    <row r="73" spans="1:5" ht="15">
      <c r="A73" s="417"/>
      <c r="B73" s="418"/>
      <c r="C73" s="419"/>
      <c r="D73" s="420"/>
      <c r="E73" s="409"/>
    </row>
    <row r="74" spans="1:5" ht="15.6" thickBot="1">
      <c r="A74" s="421"/>
      <c r="B74" s="422"/>
      <c r="C74" s="419"/>
      <c r="D74" s="423"/>
      <c r="E74" s="409"/>
    </row>
    <row r="75" spans="1:5" ht="16.2" thickBot="1">
      <c r="A75" s="424">
        <v>45900</v>
      </c>
      <c r="B75" s="425"/>
      <c r="C75" s="426" t="s">
        <v>2322</v>
      </c>
      <c r="D75" s="427">
        <f>SUM(D60:D74)</f>
        <v>5848090</v>
      </c>
      <c r="E75" s="428"/>
    </row>
    <row r="76" spans="1:5" ht="16.2" thickBot="1">
      <c r="A76" s="394"/>
      <c r="B76" s="394"/>
      <c r="C76" s="429" t="s">
        <v>50</v>
      </c>
      <c r="D76" s="427">
        <v>5848090</v>
      </c>
      <c r="E76" s="430"/>
    </row>
    <row r="77" spans="1:5" ht="15.6" thickBot="1">
      <c r="A77" s="394"/>
      <c r="B77" s="394"/>
      <c r="C77" s="394"/>
      <c r="D77" s="396"/>
      <c r="E77" s="408"/>
    </row>
    <row r="78" spans="1:5" ht="16.2" thickBot="1">
      <c r="A78" s="394"/>
      <c r="B78" s="394"/>
      <c r="C78" s="431" t="s">
        <v>51</v>
      </c>
      <c r="D78" s="432">
        <f>D75-D76</f>
        <v>0</v>
      </c>
      <c r="E78" s="409"/>
    </row>
    <row r="79" spans="1:5" ht="15">
      <c r="A79" s="394"/>
      <c r="B79" s="394"/>
      <c r="C79" s="394" t="s">
        <v>52</v>
      </c>
      <c r="D79" s="396"/>
      <c r="E79" s="396"/>
    </row>
    <row r="80" spans="1:5" ht="15.6">
      <c r="A80" s="395" t="s">
        <v>55</v>
      </c>
      <c r="B80" s="395"/>
      <c r="C80" s="395"/>
      <c r="D80" s="395" t="s">
        <v>56</v>
      </c>
      <c r="E80" s="433"/>
    </row>
    <row r="81" spans="1:5" ht="15">
      <c r="A81" s="433"/>
      <c r="B81" s="433"/>
      <c r="C81" s="433"/>
      <c r="D81" s="433"/>
      <c r="E81" s="433"/>
    </row>
    <row r="86" spans="1:5" ht="14.4">
      <c r="E86" s="161"/>
    </row>
    <row r="87" spans="1:5" ht="14.4">
      <c r="E87" s="161"/>
    </row>
    <row r="88" spans="1:5" ht="14.4">
      <c r="E88" s="161"/>
    </row>
    <row r="89" spans="1:5" ht="14.4">
      <c r="E89" s="161"/>
    </row>
    <row r="90" spans="1:5" ht="14.4">
      <c r="E90" s="161"/>
    </row>
    <row r="91" spans="1:5" ht="14.4">
      <c r="E91" s="161"/>
    </row>
    <row r="92" spans="1:5">
      <c r="E92" s="162"/>
    </row>
  </sheetData>
  <autoFilter ref="A9:E38">
    <sortState ref="A10:E35">
      <sortCondition ref="A9:A35"/>
    </sortState>
  </autoFilter>
  <mergeCells count="5">
    <mergeCell ref="A7:E7"/>
    <mergeCell ref="C53:E53"/>
    <mergeCell ref="D54:E54"/>
    <mergeCell ref="D55:E55"/>
    <mergeCell ref="D56:E56"/>
  </mergeCells>
  <pageMargins left="0.7" right="0.7" top="0.78740157499999996" bottom="0.78740157499999996" header="0.3" footer="0.3"/>
  <pageSetup paperSize="9" scale="46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76"/>
  <sheetViews>
    <sheetView topLeftCell="A22" zoomScale="90" zoomScaleNormal="90" workbookViewId="0">
      <selection activeCell="B81" sqref="B81"/>
    </sheetView>
  </sheetViews>
  <sheetFormatPr baseColWidth="10" defaultColWidth="8.69921875" defaultRowHeight="13.8"/>
  <cols>
    <col min="1" max="1" width="16.09765625" customWidth="1"/>
    <col min="2" max="2" width="77.09765625" customWidth="1"/>
    <col min="3" max="3" width="20.69921875" customWidth="1"/>
    <col min="4" max="4" width="19.3984375" customWidth="1"/>
    <col min="5" max="7" width="17.09765625" style="71" customWidth="1"/>
    <col min="8" max="9" width="17.09765625" customWidth="1"/>
    <col min="10" max="10" width="23.3984375" customWidth="1"/>
  </cols>
  <sheetData>
    <row r="1" spans="1:10" ht="14.4">
      <c r="A1" s="66" t="s">
        <v>0</v>
      </c>
      <c r="B1" s="67" t="s">
        <v>1</v>
      </c>
      <c r="C1" s="1" t="s">
        <v>2</v>
      </c>
      <c r="D1" s="1" t="s">
        <v>3</v>
      </c>
      <c r="E1" s="88" t="s">
        <v>29</v>
      </c>
      <c r="F1" s="89" t="s">
        <v>12</v>
      </c>
      <c r="G1" s="89" t="s">
        <v>30</v>
      </c>
      <c r="H1" s="68" t="s">
        <v>10</v>
      </c>
      <c r="I1" s="68" t="s">
        <v>6</v>
      </c>
      <c r="J1" s="98" t="s">
        <v>72</v>
      </c>
    </row>
    <row r="2" spans="1:10">
      <c r="A2" s="130">
        <v>45870</v>
      </c>
      <c r="B2" s="131" t="s">
        <v>2342</v>
      </c>
      <c r="C2" s="131"/>
      <c r="D2" s="131"/>
      <c r="E2" s="229"/>
      <c r="F2" s="230"/>
      <c r="G2" s="230">
        <v>72370</v>
      </c>
      <c r="H2" s="131"/>
      <c r="I2" s="131"/>
    </row>
    <row r="3" spans="1:10" hidden="1">
      <c r="A3" s="130">
        <v>45876</v>
      </c>
      <c r="B3" s="129" t="s">
        <v>2343</v>
      </c>
      <c r="C3" s="129" t="s">
        <v>152</v>
      </c>
      <c r="D3" s="129" t="s">
        <v>118</v>
      </c>
      <c r="E3" s="221">
        <v>20000</v>
      </c>
      <c r="F3" s="222"/>
      <c r="G3" s="452">
        <f t="shared" ref="G3:G66" si="0">G2+F3-E3</f>
        <v>52370</v>
      </c>
      <c r="H3" s="131" t="s">
        <v>1898</v>
      </c>
      <c r="I3" s="129" t="s">
        <v>1532</v>
      </c>
    </row>
    <row r="4" spans="1:10">
      <c r="A4" s="130">
        <v>45877</v>
      </c>
      <c r="B4" s="129" t="s">
        <v>583</v>
      </c>
      <c r="C4" s="129" t="s">
        <v>124</v>
      </c>
      <c r="D4" s="76"/>
      <c r="E4" s="221">
        <v>20000</v>
      </c>
      <c r="F4" s="222"/>
      <c r="G4" s="452">
        <f t="shared" si="0"/>
        <v>32370</v>
      </c>
      <c r="H4" s="91" t="s">
        <v>583</v>
      </c>
      <c r="I4" s="131" t="s">
        <v>2344</v>
      </c>
    </row>
    <row r="5" spans="1:10">
      <c r="A5" s="130">
        <v>45880</v>
      </c>
      <c r="B5" s="76" t="s">
        <v>323</v>
      </c>
      <c r="C5" s="129" t="s">
        <v>124</v>
      </c>
      <c r="D5" s="76"/>
      <c r="E5" s="221">
        <v>15000</v>
      </c>
      <c r="F5" s="222"/>
      <c r="G5" s="452">
        <f t="shared" si="0"/>
        <v>17370</v>
      </c>
      <c r="H5" s="91" t="s">
        <v>323</v>
      </c>
      <c r="I5" s="131" t="s">
        <v>2345</v>
      </c>
    </row>
    <row r="6" spans="1:10">
      <c r="A6" s="130">
        <v>45881</v>
      </c>
      <c r="B6" s="76" t="s">
        <v>184</v>
      </c>
      <c r="C6" s="129" t="s">
        <v>124</v>
      </c>
      <c r="D6" s="76"/>
      <c r="E6" s="221"/>
      <c r="F6" s="222">
        <v>20000</v>
      </c>
      <c r="G6" s="452">
        <f t="shared" si="0"/>
        <v>37370</v>
      </c>
      <c r="H6" s="91" t="s">
        <v>184</v>
      </c>
      <c r="I6" s="131" t="s">
        <v>2346</v>
      </c>
    </row>
    <row r="7" spans="1:10">
      <c r="A7" s="130">
        <v>45881</v>
      </c>
      <c r="B7" s="76" t="s">
        <v>317</v>
      </c>
      <c r="C7" s="129" t="s">
        <v>124</v>
      </c>
      <c r="D7" s="129"/>
      <c r="E7" s="221">
        <v>10000</v>
      </c>
      <c r="F7" s="222"/>
      <c r="G7" s="452">
        <f t="shared" si="0"/>
        <v>27370</v>
      </c>
      <c r="H7" s="129" t="s">
        <v>317</v>
      </c>
      <c r="I7" s="131" t="s">
        <v>2347</v>
      </c>
    </row>
    <row r="8" spans="1:10">
      <c r="A8" s="130">
        <v>45881</v>
      </c>
      <c r="B8" s="76" t="s">
        <v>175</v>
      </c>
      <c r="C8" s="76" t="s">
        <v>124</v>
      </c>
      <c r="D8" s="76"/>
      <c r="E8" s="221">
        <v>10000</v>
      </c>
      <c r="F8" s="222"/>
      <c r="G8" s="452">
        <f t="shared" si="0"/>
        <v>17370</v>
      </c>
      <c r="H8" s="91" t="s">
        <v>175</v>
      </c>
      <c r="I8" s="131" t="s">
        <v>2348</v>
      </c>
    </row>
    <row r="9" spans="1:10">
      <c r="A9" s="130">
        <v>45882</v>
      </c>
      <c r="B9" s="76" t="s">
        <v>2349</v>
      </c>
      <c r="C9" s="76" t="s">
        <v>124</v>
      </c>
      <c r="D9" s="76"/>
      <c r="E9" s="221"/>
      <c r="F9" s="222">
        <v>300000</v>
      </c>
      <c r="G9" s="452">
        <f t="shared" si="0"/>
        <v>317370</v>
      </c>
      <c r="H9" s="91" t="s">
        <v>148</v>
      </c>
      <c r="I9" s="131" t="s">
        <v>2350</v>
      </c>
    </row>
    <row r="10" spans="1:10">
      <c r="A10" s="130">
        <v>45882</v>
      </c>
      <c r="B10" s="76" t="s">
        <v>153</v>
      </c>
      <c r="C10" s="76" t="s">
        <v>124</v>
      </c>
      <c r="D10" s="76"/>
      <c r="E10" s="221"/>
      <c r="F10" s="222">
        <v>350000</v>
      </c>
      <c r="G10" s="452">
        <f t="shared" si="0"/>
        <v>667370</v>
      </c>
      <c r="H10" s="91" t="s">
        <v>153</v>
      </c>
      <c r="I10" s="131" t="s">
        <v>2351</v>
      </c>
    </row>
    <row r="11" spans="1:10">
      <c r="A11" s="130">
        <v>45882</v>
      </c>
      <c r="B11" s="76" t="s">
        <v>200</v>
      </c>
      <c r="C11" s="76" t="s">
        <v>124</v>
      </c>
      <c r="D11" s="76"/>
      <c r="E11" s="221">
        <v>120000</v>
      </c>
      <c r="F11" s="222"/>
      <c r="G11" s="452">
        <f t="shared" si="0"/>
        <v>547370</v>
      </c>
      <c r="H11" s="91" t="s">
        <v>200</v>
      </c>
      <c r="I11" s="131" t="s">
        <v>2352</v>
      </c>
    </row>
    <row r="12" spans="1:10">
      <c r="A12" s="130">
        <v>45882</v>
      </c>
      <c r="B12" s="76" t="s">
        <v>197</v>
      </c>
      <c r="C12" s="76" t="s">
        <v>124</v>
      </c>
      <c r="D12" s="76"/>
      <c r="E12" s="221">
        <v>120000</v>
      </c>
      <c r="F12" s="222"/>
      <c r="G12" s="452">
        <f t="shared" si="0"/>
        <v>427370</v>
      </c>
      <c r="H12" s="91" t="s">
        <v>197</v>
      </c>
      <c r="I12" s="131" t="s">
        <v>2353</v>
      </c>
    </row>
    <row r="13" spans="1:10">
      <c r="A13" s="130">
        <v>45882</v>
      </c>
      <c r="B13" s="76" t="s">
        <v>213</v>
      </c>
      <c r="C13" s="129" t="s">
        <v>124</v>
      </c>
      <c r="D13" s="129"/>
      <c r="E13" s="222">
        <v>120000</v>
      </c>
      <c r="F13" s="222"/>
      <c r="G13" s="452">
        <f t="shared" si="0"/>
        <v>307370</v>
      </c>
      <c r="H13" s="91" t="s">
        <v>213</v>
      </c>
      <c r="I13" s="131" t="s">
        <v>2354</v>
      </c>
    </row>
    <row r="14" spans="1:10">
      <c r="A14" s="130">
        <v>45882</v>
      </c>
      <c r="B14" s="129" t="s">
        <v>184</v>
      </c>
      <c r="C14" s="76" t="s">
        <v>124</v>
      </c>
      <c r="D14" s="76"/>
      <c r="E14" s="222">
        <v>145000</v>
      </c>
      <c r="F14" s="222"/>
      <c r="G14" s="452">
        <f t="shared" si="0"/>
        <v>162370</v>
      </c>
      <c r="H14" s="129" t="s">
        <v>184</v>
      </c>
      <c r="I14" s="131" t="s">
        <v>2355</v>
      </c>
    </row>
    <row r="15" spans="1:10">
      <c r="A15" s="130">
        <v>45882</v>
      </c>
      <c r="B15" s="129" t="s">
        <v>175</v>
      </c>
      <c r="C15" s="76" t="s">
        <v>124</v>
      </c>
      <c r="D15" s="76"/>
      <c r="E15" s="222">
        <v>145000</v>
      </c>
      <c r="F15" s="222"/>
      <c r="G15" s="452">
        <f t="shared" si="0"/>
        <v>17370</v>
      </c>
      <c r="H15" s="129" t="s">
        <v>175</v>
      </c>
      <c r="I15" s="131" t="s">
        <v>2356</v>
      </c>
    </row>
    <row r="16" spans="1:10">
      <c r="A16" s="130">
        <v>45883</v>
      </c>
      <c r="B16" s="76" t="s">
        <v>2357</v>
      </c>
      <c r="C16" s="76" t="s">
        <v>124</v>
      </c>
      <c r="D16" s="76"/>
      <c r="E16" s="221"/>
      <c r="F16" s="222">
        <v>2000000</v>
      </c>
      <c r="G16" s="452">
        <f t="shared" si="0"/>
        <v>2017370</v>
      </c>
      <c r="H16" s="76" t="s">
        <v>148</v>
      </c>
      <c r="I16" s="131" t="s">
        <v>2358</v>
      </c>
    </row>
    <row r="17" spans="1:9">
      <c r="A17" s="130">
        <v>45883</v>
      </c>
      <c r="B17" s="76" t="s">
        <v>153</v>
      </c>
      <c r="C17" s="76" t="s">
        <v>124</v>
      </c>
      <c r="D17" s="76"/>
      <c r="E17" s="221">
        <v>720000</v>
      </c>
      <c r="F17" s="222"/>
      <c r="G17" s="452">
        <f t="shared" si="0"/>
        <v>1297370</v>
      </c>
      <c r="H17" s="76" t="s">
        <v>153</v>
      </c>
      <c r="I17" s="131" t="s">
        <v>2359</v>
      </c>
    </row>
    <row r="18" spans="1:9">
      <c r="A18" s="130">
        <v>45883</v>
      </c>
      <c r="B18" s="129" t="s">
        <v>187</v>
      </c>
      <c r="C18" s="76" t="s">
        <v>124</v>
      </c>
      <c r="D18" s="76"/>
      <c r="E18" s="221">
        <v>20000</v>
      </c>
      <c r="F18" s="222"/>
      <c r="G18" s="452">
        <f t="shared" si="0"/>
        <v>1277370</v>
      </c>
      <c r="H18" s="76" t="s">
        <v>187</v>
      </c>
      <c r="I18" s="131" t="s">
        <v>2360</v>
      </c>
    </row>
    <row r="19" spans="1:9" hidden="1">
      <c r="A19" s="130">
        <v>45883</v>
      </c>
      <c r="B19" s="76" t="s">
        <v>2361</v>
      </c>
      <c r="C19" s="129" t="s">
        <v>172</v>
      </c>
      <c r="D19" s="76" t="s">
        <v>118</v>
      </c>
      <c r="E19" s="221">
        <v>25000</v>
      </c>
      <c r="F19" s="222"/>
      <c r="G19" s="452">
        <f t="shared" si="0"/>
        <v>1252370</v>
      </c>
      <c r="H19" s="91" t="s">
        <v>583</v>
      </c>
      <c r="I19" s="131" t="s">
        <v>2362</v>
      </c>
    </row>
    <row r="20" spans="1:9">
      <c r="A20" s="130">
        <v>45883</v>
      </c>
      <c r="B20" s="76" t="s">
        <v>583</v>
      </c>
      <c r="C20" s="76" t="s">
        <v>124</v>
      </c>
      <c r="D20" s="76"/>
      <c r="E20" s="221">
        <v>20000</v>
      </c>
      <c r="F20" s="222"/>
      <c r="G20" s="452">
        <f t="shared" si="0"/>
        <v>1232370</v>
      </c>
      <c r="H20" s="76" t="s">
        <v>583</v>
      </c>
      <c r="I20" s="131" t="s">
        <v>2363</v>
      </c>
    </row>
    <row r="21" spans="1:9" hidden="1">
      <c r="A21" s="130">
        <v>45884</v>
      </c>
      <c r="B21" s="129" t="s">
        <v>2364</v>
      </c>
      <c r="C21" s="129" t="s">
        <v>152</v>
      </c>
      <c r="D21" s="129" t="s">
        <v>118</v>
      </c>
      <c r="E21" s="221">
        <v>25000</v>
      </c>
      <c r="F21" s="222"/>
      <c r="G21" s="452">
        <f t="shared" si="0"/>
        <v>1207370</v>
      </c>
      <c r="H21" s="129" t="s">
        <v>1898</v>
      </c>
      <c r="I21" s="129" t="s">
        <v>1532</v>
      </c>
    </row>
    <row r="22" spans="1:9">
      <c r="A22" s="130">
        <v>45887</v>
      </c>
      <c r="B22" s="76" t="s">
        <v>200</v>
      </c>
      <c r="C22" s="129" t="s">
        <v>124</v>
      </c>
      <c r="D22" s="76"/>
      <c r="E22" s="221">
        <v>196000</v>
      </c>
      <c r="F22" s="222"/>
      <c r="G22" s="452">
        <f t="shared" si="0"/>
        <v>1011370</v>
      </c>
      <c r="H22" s="76" t="s">
        <v>200</v>
      </c>
      <c r="I22" s="131" t="s">
        <v>2365</v>
      </c>
    </row>
    <row r="23" spans="1:9">
      <c r="A23" s="130">
        <v>45887</v>
      </c>
      <c r="B23" s="76" t="s">
        <v>197</v>
      </c>
      <c r="C23" s="129" t="s">
        <v>124</v>
      </c>
      <c r="D23" s="76"/>
      <c r="E23" s="221">
        <v>196000</v>
      </c>
      <c r="F23" s="222"/>
      <c r="G23" s="452">
        <f t="shared" si="0"/>
        <v>815370</v>
      </c>
      <c r="H23" s="76" t="s">
        <v>197</v>
      </c>
      <c r="I23" s="131" t="s">
        <v>2366</v>
      </c>
    </row>
    <row r="24" spans="1:9">
      <c r="A24" s="130">
        <v>45887</v>
      </c>
      <c r="B24" s="76" t="s">
        <v>213</v>
      </c>
      <c r="C24" s="76" t="s">
        <v>124</v>
      </c>
      <c r="D24" s="76"/>
      <c r="E24" s="221">
        <v>196000</v>
      </c>
      <c r="F24" s="222"/>
      <c r="G24" s="452">
        <f t="shared" si="0"/>
        <v>619370</v>
      </c>
      <c r="H24" s="76" t="s">
        <v>213</v>
      </c>
      <c r="I24" s="131" t="s">
        <v>2367</v>
      </c>
    </row>
    <row r="25" spans="1:9">
      <c r="A25" s="130">
        <v>45887</v>
      </c>
      <c r="B25" s="129" t="s">
        <v>184</v>
      </c>
      <c r="C25" s="129" t="s">
        <v>124</v>
      </c>
      <c r="D25" s="129"/>
      <c r="E25" s="221">
        <v>255000</v>
      </c>
      <c r="F25" s="222"/>
      <c r="G25" s="452">
        <f t="shared" si="0"/>
        <v>364370</v>
      </c>
      <c r="H25" s="76" t="s">
        <v>184</v>
      </c>
      <c r="I25" s="131" t="s">
        <v>2368</v>
      </c>
    </row>
    <row r="26" spans="1:9">
      <c r="A26" s="130">
        <v>45887</v>
      </c>
      <c r="B26" s="129" t="s">
        <v>175</v>
      </c>
      <c r="C26" s="129" t="s">
        <v>124</v>
      </c>
      <c r="D26" s="129"/>
      <c r="E26" s="221">
        <v>255000</v>
      </c>
      <c r="F26" s="221"/>
      <c r="G26" s="452">
        <f t="shared" si="0"/>
        <v>109370</v>
      </c>
      <c r="H26" s="76" t="s">
        <v>175</v>
      </c>
      <c r="I26" s="131" t="s">
        <v>2369</v>
      </c>
    </row>
    <row r="27" spans="1:9" hidden="1">
      <c r="A27" s="130">
        <v>45887</v>
      </c>
      <c r="B27" s="129" t="s">
        <v>2370</v>
      </c>
      <c r="C27" s="76" t="s">
        <v>182</v>
      </c>
      <c r="D27" s="76" t="s">
        <v>118</v>
      </c>
      <c r="E27" s="221">
        <v>32940</v>
      </c>
      <c r="F27" s="222"/>
      <c r="G27" s="452">
        <f t="shared" si="0"/>
        <v>76430</v>
      </c>
      <c r="H27" s="76" t="s">
        <v>190</v>
      </c>
      <c r="I27" s="129" t="s">
        <v>2371</v>
      </c>
    </row>
    <row r="28" spans="1:9">
      <c r="A28" s="130">
        <v>45887</v>
      </c>
      <c r="B28" s="76" t="s">
        <v>2372</v>
      </c>
      <c r="C28" s="76" t="s">
        <v>124</v>
      </c>
      <c r="D28" s="76"/>
      <c r="E28" s="221"/>
      <c r="F28" s="221">
        <v>2000000</v>
      </c>
      <c r="G28" s="452">
        <f t="shared" si="0"/>
        <v>2076430</v>
      </c>
      <c r="H28" s="76" t="s">
        <v>148</v>
      </c>
      <c r="I28" s="131" t="s">
        <v>2373</v>
      </c>
    </row>
    <row r="29" spans="1:9" hidden="1">
      <c r="A29" s="130">
        <v>45887</v>
      </c>
      <c r="B29" s="129" t="s">
        <v>2374</v>
      </c>
      <c r="C29" s="129" t="s">
        <v>127</v>
      </c>
      <c r="D29" s="129" t="s">
        <v>119</v>
      </c>
      <c r="E29" s="221">
        <v>300000</v>
      </c>
      <c r="F29" s="221"/>
      <c r="G29" s="452">
        <f t="shared" si="0"/>
        <v>1776430</v>
      </c>
      <c r="H29" s="76" t="s">
        <v>153</v>
      </c>
      <c r="I29" s="129" t="s">
        <v>2375</v>
      </c>
    </row>
    <row r="30" spans="1:9" hidden="1">
      <c r="A30" s="130">
        <v>45887</v>
      </c>
      <c r="B30" s="129" t="s">
        <v>2376</v>
      </c>
      <c r="C30" s="129" t="s">
        <v>152</v>
      </c>
      <c r="D30" s="129" t="s">
        <v>118</v>
      </c>
      <c r="E30" s="221">
        <v>120000</v>
      </c>
      <c r="F30" s="222"/>
      <c r="G30" s="452">
        <f t="shared" si="0"/>
        <v>1656430</v>
      </c>
      <c r="H30" s="129" t="s">
        <v>1898</v>
      </c>
      <c r="I30" s="131" t="s">
        <v>1532</v>
      </c>
    </row>
    <row r="31" spans="1:9" hidden="1">
      <c r="A31" s="130">
        <v>45887</v>
      </c>
      <c r="B31" s="129" t="s">
        <v>2377</v>
      </c>
      <c r="C31" s="129" t="s">
        <v>152</v>
      </c>
      <c r="D31" s="129" t="s">
        <v>118</v>
      </c>
      <c r="E31" s="221">
        <v>25000</v>
      </c>
      <c r="F31" s="222"/>
      <c r="G31" s="452">
        <f t="shared" si="0"/>
        <v>1631430</v>
      </c>
      <c r="H31" s="129" t="s">
        <v>1898</v>
      </c>
      <c r="I31" s="131" t="s">
        <v>1532</v>
      </c>
    </row>
    <row r="32" spans="1:9">
      <c r="A32" s="130">
        <v>45887</v>
      </c>
      <c r="B32" s="317" t="s">
        <v>193</v>
      </c>
      <c r="C32" s="76" t="s">
        <v>124</v>
      </c>
      <c r="D32" s="76"/>
      <c r="E32" s="221">
        <v>78500</v>
      </c>
      <c r="F32" s="221"/>
      <c r="G32" s="452">
        <f t="shared" si="0"/>
        <v>1552930</v>
      </c>
      <c r="H32" s="76" t="s">
        <v>193</v>
      </c>
      <c r="I32" s="131" t="s">
        <v>2378</v>
      </c>
    </row>
    <row r="33" spans="1:9">
      <c r="A33" s="130">
        <v>45887</v>
      </c>
      <c r="B33" s="129" t="s">
        <v>323</v>
      </c>
      <c r="C33" s="76" t="s">
        <v>124</v>
      </c>
      <c r="D33" s="76"/>
      <c r="E33" s="221">
        <v>100000</v>
      </c>
      <c r="F33" s="221"/>
      <c r="G33" s="452">
        <f t="shared" si="0"/>
        <v>1452930</v>
      </c>
      <c r="H33" s="76" t="s">
        <v>323</v>
      </c>
      <c r="I33" s="131" t="s">
        <v>2379</v>
      </c>
    </row>
    <row r="34" spans="1:9">
      <c r="A34" s="130">
        <v>45887</v>
      </c>
      <c r="B34" s="76" t="s">
        <v>317</v>
      </c>
      <c r="C34" s="76" t="s">
        <v>124</v>
      </c>
      <c r="D34" s="76"/>
      <c r="E34" s="221">
        <v>100000</v>
      </c>
      <c r="F34" s="221"/>
      <c r="G34" s="452">
        <f t="shared" si="0"/>
        <v>1352930</v>
      </c>
      <c r="H34" s="76" t="s">
        <v>317</v>
      </c>
      <c r="I34" s="131" t="s">
        <v>2380</v>
      </c>
    </row>
    <row r="35" spans="1:9">
      <c r="A35" s="130">
        <v>45888</v>
      </c>
      <c r="B35" s="76" t="s">
        <v>190</v>
      </c>
      <c r="C35" s="76" t="s">
        <v>124</v>
      </c>
      <c r="D35" s="76"/>
      <c r="E35" s="221">
        <v>92500</v>
      </c>
      <c r="F35" s="221"/>
      <c r="G35" s="452">
        <f t="shared" si="0"/>
        <v>1260430</v>
      </c>
      <c r="H35" s="76" t="s">
        <v>190</v>
      </c>
      <c r="I35" s="131" t="s">
        <v>2381</v>
      </c>
    </row>
    <row r="36" spans="1:9" hidden="1">
      <c r="A36" s="130">
        <v>45888</v>
      </c>
      <c r="B36" s="453" t="s">
        <v>2382</v>
      </c>
      <c r="C36" s="453" t="s">
        <v>127</v>
      </c>
      <c r="D36" s="453" t="s">
        <v>117</v>
      </c>
      <c r="E36" s="221">
        <v>10500</v>
      </c>
      <c r="F36" s="221"/>
      <c r="G36" s="452">
        <f t="shared" si="0"/>
        <v>1249930</v>
      </c>
      <c r="H36" s="76" t="s">
        <v>583</v>
      </c>
      <c r="I36" s="129" t="s">
        <v>2383</v>
      </c>
    </row>
    <row r="37" spans="1:9" hidden="1">
      <c r="A37" s="130">
        <v>45888</v>
      </c>
      <c r="B37" s="129" t="s">
        <v>2384</v>
      </c>
      <c r="C37" s="76" t="s">
        <v>172</v>
      </c>
      <c r="D37" s="76" t="s">
        <v>118</v>
      </c>
      <c r="E37" s="221">
        <v>52550</v>
      </c>
      <c r="F37" s="221"/>
      <c r="G37" s="452">
        <f t="shared" si="0"/>
        <v>1197380</v>
      </c>
      <c r="H37" s="91" t="s">
        <v>583</v>
      </c>
      <c r="I37" s="129" t="s">
        <v>2385</v>
      </c>
    </row>
    <row r="38" spans="1:9">
      <c r="A38" s="130">
        <v>45889</v>
      </c>
      <c r="B38" s="129" t="s">
        <v>323</v>
      </c>
      <c r="C38" s="76" t="s">
        <v>124</v>
      </c>
      <c r="D38" s="76"/>
      <c r="E38" s="221">
        <v>88000</v>
      </c>
      <c r="F38" s="221"/>
      <c r="G38" s="452">
        <f t="shared" si="0"/>
        <v>1109380</v>
      </c>
      <c r="H38" s="76" t="s">
        <v>323</v>
      </c>
      <c r="I38" s="131" t="s">
        <v>2386</v>
      </c>
    </row>
    <row r="39" spans="1:9">
      <c r="A39" s="130">
        <v>45889</v>
      </c>
      <c r="B39" s="129" t="s">
        <v>317</v>
      </c>
      <c r="C39" s="76" t="s">
        <v>124</v>
      </c>
      <c r="D39" s="76"/>
      <c r="E39" s="221">
        <v>71000</v>
      </c>
      <c r="F39" s="221"/>
      <c r="G39" s="452">
        <f t="shared" si="0"/>
        <v>1038380</v>
      </c>
      <c r="H39" s="76" t="s">
        <v>317</v>
      </c>
      <c r="I39" s="131" t="s">
        <v>2387</v>
      </c>
    </row>
    <row r="40" spans="1:9" hidden="1">
      <c r="A40" s="130">
        <v>45889</v>
      </c>
      <c r="B40" s="129" t="s">
        <v>2388</v>
      </c>
      <c r="C40" s="76" t="s">
        <v>182</v>
      </c>
      <c r="D40" s="76" t="s">
        <v>118</v>
      </c>
      <c r="E40" s="221">
        <v>3180</v>
      </c>
      <c r="F40" s="222"/>
      <c r="G40" s="452">
        <f t="shared" si="0"/>
        <v>1035200</v>
      </c>
      <c r="H40" s="76" t="s">
        <v>583</v>
      </c>
      <c r="I40" s="129" t="s">
        <v>2389</v>
      </c>
    </row>
    <row r="41" spans="1:9" hidden="1">
      <c r="A41" s="130">
        <v>45891</v>
      </c>
      <c r="B41" s="76" t="s">
        <v>2390</v>
      </c>
      <c r="C41" s="76" t="s">
        <v>172</v>
      </c>
      <c r="D41" s="76" t="s">
        <v>118</v>
      </c>
      <c r="E41" s="221">
        <v>68500</v>
      </c>
      <c r="F41" s="222"/>
      <c r="G41" s="452">
        <f t="shared" si="0"/>
        <v>966700</v>
      </c>
      <c r="H41" s="76" t="s">
        <v>193</v>
      </c>
      <c r="I41" s="129" t="s">
        <v>2391</v>
      </c>
    </row>
    <row r="42" spans="1:9">
      <c r="A42" s="130">
        <v>45891</v>
      </c>
      <c r="B42" s="76" t="s">
        <v>2392</v>
      </c>
      <c r="C42" s="76" t="s">
        <v>124</v>
      </c>
      <c r="D42" s="76"/>
      <c r="E42" s="221"/>
      <c r="F42" s="222">
        <v>2000000</v>
      </c>
      <c r="G42" s="452">
        <f t="shared" si="0"/>
        <v>2966700</v>
      </c>
      <c r="H42" s="76" t="s">
        <v>148</v>
      </c>
      <c r="I42" s="131" t="s">
        <v>2393</v>
      </c>
    </row>
    <row r="43" spans="1:9">
      <c r="A43" s="130">
        <v>45891</v>
      </c>
      <c r="B43" s="129" t="s">
        <v>184</v>
      </c>
      <c r="C43" s="76" t="s">
        <v>124</v>
      </c>
      <c r="D43" s="76"/>
      <c r="E43" s="221">
        <v>465000</v>
      </c>
      <c r="F43" s="221"/>
      <c r="G43" s="452">
        <f t="shared" si="0"/>
        <v>2501700</v>
      </c>
      <c r="H43" s="76" t="s">
        <v>184</v>
      </c>
      <c r="I43" s="131" t="s">
        <v>2394</v>
      </c>
    </row>
    <row r="44" spans="1:9">
      <c r="A44" s="130">
        <v>45891</v>
      </c>
      <c r="B44" s="129" t="s">
        <v>200</v>
      </c>
      <c r="C44" s="76" t="s">
        <v>124</v>
      </c>
      <c r="D44" s="76"/>
      <c r="E44" s="221">
        <v>379000</v>
      </c>
      <c r="F44" s="222"/>
      <c r="G44" s="452">
        <f t="shared" si="0"/>
        <v>2122700</v>
      </c>
      <c r="H44" s="76" t="s">
        <v>200</v>
      </c>
      <c r="I44" s="131" t="s">
        <v>2395</v>
      </c>
    </row>
    <row r="45" spans="1:9">
      <c r="A45" s="130">
        <v>45891</v>
      </c>
      <c r="B45" s="76" t="s">
        <v>197</v>
      </c>
      <c r="C45" s="76" t="s">
        <v>124</v>
      </c>
      <c r="D45" s="76"/>
      <c r="E45" s="221">
        <v>129000</v>
      </c>
      <c r="F45" s="221"/>
      <c r="G45" s="452">
        <f t="shared" si="0"/>
        <v>1993700</v>
      </c>
      <c r="H45" s="76" t="s">
        <v>197</v>
      </c>
      <c r="I45" s="131" t="s">
        <v>2396</v>
      </c>
    </row>
    <row r="46" spans="1:9">
      <c r="A46" s="130">
        <v>45891</v>
      </c>
      <c r="B46" s="76" t="s">
        <v>213</v>
      </c>
      <c r="C46" s="76" t="s">
        <v>124</v>
      </c>
      <c r="D46" s="76"/>
      <c r="E46" s="221">
        <v>90000</v>
      </c>
      <c r="F46" s="222"/>
      <c r="G46" s="452">
        <f t="shared" si="0"/>
        <v>1903700</v>
      </c>
      <c r="H46" s="76" t="s">
        <v>213</v>
      </c>
      <c r="I46" s="131" t="s">
        <v>2397</v>
      </c>
    </row>
    <row r="47" spans="1:9" hidden="1">
      <c r="A47" s="130">
        <v>45891</v>
      </c>
      <c r="B47" s="129" t="s">
        <v>2398</v>
      </c>
      <c r="C47" s="76" t="s">
        <v>182</v>
      </c>
      <c r="D47" s="76" t="s">
        <v>118</v>
      </c>
      <c r="E47" s="221">
        <v>31890</v>
      </c>
      <c r="F47" s="221"/>
      <c r="G47" s="452">
        <f t="shared" si="0"/>
        <v>1871810</v>
      </c>
      <c r="H47" s="76" t="s">
        <v>583</v>
      </c>
      <c r="I47" s="129" t="s">
        <v>2399</v>
      </c>
    </row>
    <row r="48" spans="1:9">
      <c r="A48" s="130">
        <v>45891</v>
      </c>
      <c r="B48" s="129" t="s">
        <v>193</v>
      </c>
      <c r="C48" s="76" t="s">
        <v>124</v>
      </c>
      <c r="D48" s="76"/>
      <c r="E48" s="221">
        <v>20000</v>
      </c>
      <c r="F48" s="221"/>
      <c r="G48" s="452">
        <f t="shared" si="0"/>
        <v>1851810</v>
      </c>
      <c r="H48" s="76" t="s">
        <v>193</v>
      </c>
      <c r="I48" s="131" t="s">
        <v>2400</v>
      </c>
    </row>
    <row r="49" spans="1:9">
      <c r="A49" s="130">
        <v>45891</v>
      </c>
      <c r="B49" s="129" t="s">
        <v>583</v>
      </c>
      <c r="C49" s="76" t="s">
        <v>124</v>
      </c>
      <c r="D49" s="76"/>
      <c r="E49" s="221">
        <v>20000</v>
      </c>
      <c r="F49" s="221"/>
      <c r="G49" s="452">
        <f t="shared" si="0"/>
        <v>1831810</v>
      </c>
      <c r="H49" s="76" t="s">
        <v>583</v>
      </c>
      <c r="I49" s="131" t="s">
        <v>2401</v>
      </c>
    </row>
    <row r="50" spans="1:9" hidden="1">
      <c r="A50" s="130">
        <v>45894</v>
      </c>
      <c r="B50" s="76" t="s">
        <v>2402</v>
      </c>
      <c r="C50" s="76" t="s">
        <v>1542</v>
      </c>
      <c r="D50" s="76" t="s">
        <v>118</v>
      </c>
      <c r="E50" s="221">
        <v>35000</v>
      </c>
      <c r="F50" s="221"/>
      <c r="G50" s="452">
        <f t="shared" si="0"/>
        <v>1796810</v>
      </c>
      <c r="H50" s="76" t="s">
        <v>187</v>
      </c>
      <c r="I50" s="129" t="s">
        <v>2403</v>
      </c>
    </row>
    <row r="51" spans="1:9" hidden="1">
      <c r="A51" s="130">
        <v>45894</v>
      </c>
      <c r="B51" s="76" t="s">
        <v>2404</v>
      </c>
      <c r="C51" s="76" t="s">
        <v>304</v>
      </c>
      <c r="D51" s="76" t="s">
        <v>118</v>
      </c>
      <c r="E51" s="221">
        <v>5000</v>
      </c>
      <c r="F51" s="221"/>
      <c r="G51" s="452">
        <f t="shared" si="0"/>
        <v>1791810</v>
      </c>
      <c r="H51" s="76" t="s">
        <v>187</v>
      </c>
      <c r="I51" s="129" t="s">
        <v>2405</v>
      </c>
    </row>
    <row r="52" spans="1:9">
      <c r="A52" s="130">
        <v>45894</v>
      </c>
      <c r="B52" s="76" t="s">
        <v>184</v>
      </c>
      <c r="C52" s="76" t="s">
        <v>124</v>
      </c>
      <c r="D52" s="76"/>
      <c r="E52" s="221">
        <v>203000</v>
      </c>
      <c r="F52" s="221"/>
      <c r="G52" s="452">
        <f t="shared" si="0"/>
        <v>1588810</v>
      </c>
      <c r="H52" s="76" t="s">
        <v>184</v>
      </c>
      <c r="I52" s="131" t="s">
        <v>2406</v>
      </c>
    </row>
    <row r="53" spans="1:9">
      <c r="A53" s="130">
        <v>45894</v>
      </c>
      <c r="B53" s="76" t="s">
        <v>175</v>
      </c>
      <c r="C53" s="76" t="s">
        <v>124</v>
      </c>
      <c r="D53" s="76"/>
      <c r="E53" s="221">
        <v>168000</v>
      </c>
      <c r="F53" s="221"/>
      <c r="G53" s="452">
        <f t="shared" si="0"/>
        <v>1420810</v>
      </c>
      <c r="H53" s="129" t="s">
        <v>175</v>
      </c>
      <c r="I53" s="131" t="s">
        <v>2407</v>
      </c>
    </row>
    <row r="54" spans="1:9" hidden="1">
      <c r="A54" s="130">
        <v>45894</v>
      </c>
      <c r="B54" s="129" t="s">
        <v>2408</v>
      </c>
      <c r="C54" s="76" t="s">
        <v>182</v>
      </c>
      <c r="D54" s="76" t="s">
        <v>118</v>
      </c>
      <c r="E54" s="221">
        <v>12985</v>
      </c>
      <c r="F54" s="221"/>
      <c r="G54" s="452">
        <f t="shared" si="0"/>
        <v>1407825</v>
      </c>
      <c r="H54" s="76" t="s">
        <v>583</v>
      </c>
      <c r="I54" s="129" t="s">
        <v>2409</v>
      </c>
    </row>
    <row r="55" spans="1:9" hidden="1">
      <c r="A55" s="130">
        <v>45895</v>
      </c>
      <c r="B55" s="129" t="s">
        <v>2410</v>
      </c>
      <c r="C55" s="129" t="s">
        <v>2088</v>
      </c>
      <c r="D55" s="129" t="s">
        <v>120</v>
      </c>
      <c r="E55" s="221">
        <v>84000</v>
      </c>
      <c r="F55" s="95"/>
      <c r="G55" s="452">
        <f t="shared" si="0"/>
        <v>1323825</v>
      </c>
      <c r="H55" s="129" t="s">
        <v>213</v>
      </c>
      <c r="I55" s="129" t="s">
        <v>2411</v>
      </c>
    </row>
    <row r="56" spans="1:9" hidden="1">
      <c r="A56" s="130">
        <v>45895</v>
      </c>
      <c r="B56" s="129" t="s">
        <v>2412</v>
      </c>
      <c r="C56" s="129" t="s">
        <v>2088</v>
      </c>
      <c r="D56" s="129" t="s">
        <v>120</v>
      </c>
      <c r="E56" s="221">
        <v>40000</v>
      </c>
      <c r="F56" s="221"/>
      <c r="G56" s="452">
        <f t="shared" si="0"/>
        <v>1283825</v>
      </c>
      <c r="H56" s="129" t="s">
        <v>213</v>
      </c>
      <c r="I56" s="129" t="s">
        <v>2413</v>
      </c>
    </row>
    <row r="57" spans="1:9" hidden="1">
      <c r="A57" s="130">
        <v>45895</v>
      </c>
      <c r="B57" s="129" t="s">
        <v>2414</v>
      </c>
      <c r="C57" s="129" t="s">
        <v>2088</v>
      </c>
      <c r="D57" s="129" t="s">
        <v>120</v>
      </c>
      <c r="E57" s="221">
        <v>6000</v>
      </c>
      <c r="F57" s="221"/>
      <c r="G57" s="452">
        <f t="shared" si="0"/>
        <v>1277825</v>
      </c>
      <c r="H57" s="129" t="s">
        <v>213</v>
      </c>
      <c r="I57" s="129" t="s">
        <v>2415</v>
      </c>
    </row>
    <row r="58" spans="1:9" hidden="1">
      <c r="A58" s="130">
        <v>45895</v>
      </c>
      <c r="B58" s="129" t="s">
        <v>2416</v>
      </c>
      <c r="C58" s="76" t="s">
        <v>182</v>
      </c>
      <c r="D58" s="76" t="s">
        <v>118</v>
      </c>
      <c r="E58" s="221">
        <v>3900</v>
      </c>
      <c r="F58" s="221"/>
      <c r="G58" s="452">
        <f t="shared" si="0"/>
        <v>1273925</v>
      </c>
      <c r="H58" s="76" t="s">
        <v>187</v>
      </c>
      <c r="I58" s="129" t="s">
        <v>2417</v>
      </c>
    </row>
    <row r="59" spans="1:9" hidden="1">
      <c r="A59" s="130">
        <v>45895</v>
      </c>
      <c r="B59" s="129" t="s">
        <v>2418</v>
      </c>
      <c r="C59" s="76" t="s">
        <v>172</v>
      </c>
      <c r="D59" s="76" t="s">
        <v>118</v>
      </c>
      <c r="E59" s="221">
        <v>25000</v>
      </c>
      <c r="F59" s="221"/>
      <c r="G59" s="452">
        <f t="shared" si="0"/>
        <v>1248925</v>
      </c>
      <c r="H59" s="76" t="s">
        <v>190</v>
      </c>
      <c r="I59" s="129" t="s">
        <v>2419</v>
      </c>
    </row>
    <row r="60" spans="1:9" hidden="1">
      <c r="A60" s="130">
        <v>45896</v>
      </c>
      <c r="B60" s="76" t="s">
        <v>2420</v>
      </c>
      <c r="C60" s="129" t="s">
        <v>174</v>
      </c>
      <c r="D60" s="76" t="s">
        <v>117</v>
      </c>
      <c r="E60" s="221">
        <v>84000</v>
      </c>
      <c r="F60" s="221"/>
      <c r="G60" s="452">
        <f t="shared" si="0"/>
        <v>1164925</v>
      </c>
      <c r="H60" s="76" t="s">
        <v>193</v>
      </c>
      <c r="I60" s="129" t="s">
        <v>2421</v>
      </c>
    </row>
    <row r="61" spans="1:9" hidden="1">
      <c r="A61" s="130">
        <v>45896</v>
      </c>
      <c r="B61" s="76" t="s">
        <v>2422</v>
      </c>
      <c r="C61" s="129" t="s">
        <v>177</v>
      </c>
      <c r="D61" s="76" t="s">
        <v>117</v>
      </c>
      <c r="E61" s="221">
        <v>100000</v>
      </c>
      <c r="F61" s="454"/>
      <c r="G61" s="452">
        <f t="shared" si="0"/>
        <v>1064925</v>
      </c>
      <c r="H61" s="76" t="s">
        <v>193</v>
      </c>
      <c r="I61" s="129" t="s">
        <v>2423</v>
      </c>
    </row>
    <row r="62" spans="1:9">
      <c r="A62" s="130">
        <v>45896</v>
      </c>
      <c r="B62" s="76" t="s">
        <v>193</v>
      </c>
      <c r="C62" s="129" t="s">
        <v>124</v>
      </c>
      <c r="D62" s="129"/>
      <c r="E62" s="221">
        <v>174000</v>
      </c>
      <c r="F62" s="221"/>
      <c r="G62" s="452">
        <f t="shared" si="0"/>
        <v>890925</v>
      </c>
      <c r="H62" s="76" t="s">
        <v>193</v>
      </c>
      <c r="I62" s="131" t="s">
        <v>2424</v>
      </c>
    </row>
    <row r="63" spans="1:9" hidden="1">
      <c r="A63" s="130">
        <v>45896</v>
      </c>
      <c r="B63" s="76" t="s">
        <v>2425</v>
      </c>
      <c r="C63" s="129" t="s">
        <v>304</v>
      </c>
      <c r="D63" s="76" t="s">
        <v>118</v>
      </c>
      <c r="E63" s="221">
        <v>20000</v>
      </c>
      <c r="F63" s="221"/>
      <c r="G63" s="452">
        <f t="shared" si="0"/>
        <v>870925</v>
      </c>
      <c r="H63" s="76" t="s">
        <v>583</v>
      </c>
      <c r="I63" s="129" t="s">
        <v>2426</v>
      </c>
    </row>
    <row r="64" spans="1:9" hidden="1">
      <c r="A64" s="130">
        <v>45896</v>
      </c>
      <c r="B64" s="76" t="s">
        <v>2427</v>
      </c>
      <c r="C64" s="76" t="s">
        <v>304</v>
      </c>
      <c r="D64" s="76" t="s">
        <v>118</v>
      </c>
      <c r="E64" s="221">
        <v>75625</v>
      </c>
      <c r="F64" s="221"/>
      <c r="G64" s="452">
        <f t="shared" si="0"/>
        <v>795300</v>
      </c>
      <c r="H64" s="129" t="s">
        <v>583</v>
      </c>
      <c r="I64" s="129" t="s">
        <v>2428</v>
      </c>
    </row>
    <row r="65" spans="1:9">
      <c r="A65" s="130">
        <v>45896</v>
      </c>
      <c r="B65" s="76" t="s">
        <v>317</v>
      </c>
      <c r="C65" s="129" t="s">
        <v>124</v>
      </c>
      <c r="D65" s="76"/>
      <c r="E65" s="455">
        <v>20000</v>
      </c>
      <c r="F65" s="455"/>
      <c r="G65" s="452">
        <f t="shared" si="0"/>
        <v>775300</v>
      </c>
      <c r="H65" s="76" t="s">
        <v>317</v>
      </c>
      <c r="I65" s="131" t="s">
        <v>2429</v>
      </c>
    </row>
    <row r="66" spans="1:9">
      <c r="A66" s="130">
        <v>45896</v>
      </c>
      <c r="B66" s="76" t="s">
        <v>200</v>
      </c>
      <c r="C66" s="129" t="s">
        <v>124</v>
      </c>
      <c r="D66" s="76"/>
      <c r="E66" s="221">
        <v>30000</v>
      </c>
      <c r="F66" s="221"/>
      <c r="G66" s="452">
        <f t="shared" si="0"/>
        <v>745300</v>
      </c>
      <c r="H66" s="76" t="s">
        <v>200</v>
      </c>
      <c r="I66" s="131" t="s">
        <v>2430</v>
      </c>
    </row>
    <row r="67" spans="1:9">
      <c r="A67" s="130">
        <v>45896</v>
      </c>
      <c r="B67" s="129" t="s">
        <v>213</v>
      </c>
      <c r="C67" s="76" t="s">
        <v>124</v>
      </c>
      <c r="D67" s="76"/>
      <c r="E67" s="221">
        <v>108000</v>
      </c>
      <c r="F67" s="221"/>
      <c r="G67" s="452">
        <f t="shared" ref="G67:G76" si="1">G66+F67-E67</f>
        <v>637300</v>
      </c>
      <c r="H67" s="76" t="s">
        <v>213</v>
      </c>
      <c r="I67" s="131" t="s">
        <v>2431</v>
      </c>
    </row>
    <row r="68" spans="1:9">
      <c r="A68" s="130">
        <v>45896</v>
      </c>
      <c r="B68" s="76" t="s">
        <v>197</v>
      </c>
      <c r="C68" s="129" t="s">
        <v>124</v>
      </c>
      <c r="D68" s="76"/>
      <c r="E68" s="221">
        <v>196000</v>
      </c>
      <c r="F68" s="221"/>
      <c r="G68" s="452">
        <f t="shared" si="1"/>
        <v>441300</v>
      </c>
      <c r="H68" s="76" t="s">
        <v>197</v>
      </c>
      <c r="I68" s="131" t="s">
        <v>2432</v>
      </c>
    </row>
    <row r="69" spans="1:9" hidden="1">
      <c r="A69" s="130">
        <v>45896</v>
      </c>
      <c r="B69" s="129" t="s">
        <v>2433</v>
      </c>
      <c r="C69" s="76" t="s">
        <v>182</v>
      </c>
      <c r="D69" s="76" t="s">
        <v>118</v>
      </c>
      <c r="E69" s="221">
        <v>10020</v>
      </c>
      <c r="F69" s="222"/>
      <c r="G69" s="452">
        <f t="shared" si="1"/>
        <v>431280</v>
      </c>
      <c r="H69" s="76" t="s">
        <v>583</v>
      </c>
      <c r="I69" s="129" t="s">
        <v>2434</v>
      </c>
    </row>
    <row r="70" spans="1:9" hidden="1">
      <c r="A70" s="130">
        <v>45898</v>
      </c>
      <c r="B70" s="76" t="s">
        <v>2435</v>
      </c>
      <c r="C70" s="76" t="s">
        <v>126</v>
      </c>
      <c r="D70" s="76" t="s">
        <v>118</v>
      </c>
      <c r="E70" s="221">
        <v>6000</v>
      </c>
      <c r="F70" s="222"/>
      <c r="G70" s="452">
        <f t="shared" si="1"/>
        <v>425280</v>
      </c>
      <c r="H70" s="91" t="s">
        <v>583</v>
      </c>
      <c r="I70" s="129" t="s">
        <v>2436</v>
      </c>
    </row>
    <row r="71" spans="1:9" hidden="1">
      <c r="A71" s="130">
        <v>45898</v>
      </c>
      <c r="B71" s="129" t="s">
        <v>2437</v>
      </c>
      <c r="C71" s="129" t="s">
        <v>626</v>
      </c>
      <c r="D71" s="129" t="s">
        <v>118</v>
      </c>
      <c r="E71" s="221">
        <v>45050</v>
      </c>
      <c r="F71" s="222"/>
      <c r="G71" s="452">
        <f t="shared" si="1"/>
        <v>380230</v>
      </c>
      <c r="H71" s="76" t="s">
        <v>583</v>
      </c>
      <c r="I71" s="129" t="s">
        <v>2438</v>
      </c>
    </row>
    <row r="72" spans="1:9" hidden="1">
      <c r="A72" s="130">
        <v>45898</v>
      </c>
      <c r="B72" s="129" t="s">
        <v>2439</v>
      </c>
      <c r="C72" s="129" t="s">
        <v>2088</v>
      </c>
      <c r="D72" s="129" t="s">
        <v>120</v>
      </c>
      <c r="E72" s="221">
        <v>200000</v>
      </c>
      <c r="F72" s="222"/>
      <c r="G72" s="452">
        <f t="shared" si="1"/>
        <v>180230</v>
      </c>
      <c r="H72" s="76" t="s">
        <v>213</v>
      </c>
      <c r="I72" s="129" t="s">
        <v>2440</v>
      </c>
    </row>
    <row r="73" spans="1:9">
      <c r="A73" s="130">
        <v>45898</v>
      </c>
      <c r="B73" s="76" t="s">
        <v>213</v>
      </c>
      <c r="C73" s="129" t="s">
        <v>124</v>
      </c>
      <c r="D73" s="76"/>
      <c r="E73" s="221">
        <v>75000</v>
      </c>
      <c r="F73" s="222"/>
      <c r="G73" s="452">
        <f t="shared" si="1"/>
        <v>105230</v>
      </c>
      <c r="H73" s="76" t="s">
        <v>213</v>
      </c>
      <c r="I73" s="131" t="s">
        <v>2441</v>
      </c>
    </row>
    <row r="74" spans="1:9" hidden="1">
      <c r="A74" s="130">
        <v>45898</v>
      </c>
      <c r="B74" s="129" t="s">
        <v>2416</v>
      </c>
      <c r="C74" s="76" t="s">
        <v>182</v>
      </c>
      <c r="D74" s="76" t="s">
        <v>118</v>
      </c>
      <c r="E74" s="221">
        <v>8250</v>
      </c>
      <c r="F74" s="222"/>
      <c r="G74" s="452">
        <f t="shared" si="1"/>
        <v>96980</v>
      </c>
      <c r="H74" s="76" t="s">
        <v>190</v>
      </c>
      <c r="I74" s="129" t="s">
        <v>2442</v>
      </c>
    </row>
    <row r="75" spans="1:9">
      <c r="A75" s="130">
        <v>45898</v>
      </c>
      <c r="B75" s="76" t="s">
        <v>190</v>
      </c>
      <c r="C75" s="129" t="s">
        <v>124</v>
      </c>
      <c r="D75" s="76"/>
      <c r="E75" s="221">
        <v>20000</v>
      </c>
      <c r="F75" s="222"/>
      <c r="G75" s="452">
        <f t="shared" si="1"/>
        <v>76980</v>
      </c>
      <c r="H75" s="76" t="s">
        <v>190</v>
      </c>
      <c r="I75" s="131" t="s">
        <v>2443</v>
      </c>
    </row>
    <row r="76" spans="1:9">
      <c r="A76" s="130">
        <v>45898</v>
      </c>
      <c r="B76" s="129" t="s">
        <v>153</v>
      </c>
      <c r="C76" s="76" t="s">
        <v>124</v>
      </c>
      <c r="D76" s="76"/>
      <c r="E76" s="221">
        <v>20000</v>
      </c>
      <c r="F76" s="222"/>
      <c r="G76" s="452">
        <f t="shared" si="1"/>
        <v>56980</v>
      </c>
      <c r="H76" s="76" t="s">
        <v>153</v>
      </c>
      <c r="I76" s="131" t="s">
        <v>2444</v>
      </c>
    </row>
  </sheetData>
  <autoFilter ref="A1:J76">
    <filterColumn colId="2">
      <filters blank="1">
        <filter val="Versement"/>
      </filters>
    </filterColumn>
  </autoFilter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</vt:i4>
      </vt:variant>
    </vt:vector>
  </HeadingPairs>
  <TitlesOfParts>
    <vt:vector size="14" baseType="lpstr">
      <vt:lpstr>Balance </vt:lpstr>
      <vt:lpstr>DATA Août 2025</vt:lpstr>
      <vt:lpstr>Personals balance </vt:lpstr>
      <vt:lpstr>Individual costs </vt:lpstr>
      <vt:lpstr>Individual received </vt:lpstr>
      <vt:lpstr>data ANALYSIS </vt:lpstr>
      <vt:lpstr>Bank journal </vt:lpstr>
      <vt:lpstr>Bank reconciliation </vt:lpstr>
      <vt:lpstr>Cash journal </vt:lpstr>
      <vt:lpstr>Cash desk closing </vt:lpstr>
      <vt:lpstr>Global data Août  2025</vt:lpstr>
      <vt:lpstr>Donors table</vt:lpstr>
      <vt:lpstr>phone credit </vt:lpstr>
      <vt:lpstr>'Bank reconciliation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Jana Hajduchová</dc:creator>
  <cp:lastModifiedBy>Tiffany Gobert</cp:lastModifiedBy>
  <cp:lastPrinted>2025-09-11T09:03:43Z</cp:lastPrinted>
  <dcterms:created xsi:type="dcterms:W3CDTF">2024-11-19T16:31:30Z</dcterms:created>
  <dcterms:modified xsi:type="dcterms:W3CDTF">2025-09-19T15:01:05Z</dcterms:modified>
</cp:coreProperties>
</file>